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firstSheet="1" activeTab="2"/>
  </bookViews>
  <sheets>
    <sheet name="CONCEDIU" sheetId="1" r:id="rId1"/>
    <sheet name="Facturat+Refuzat 2024" sheetId="2" r:id="rId2"/>
    <sheet name="Contract -plati 2024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<sst xmlns="http://schemas.openxmlformats.org/spreadsheetml/2006/main" count="253" uniqueCount="70">
  <si>
    <t>LUNA</t>
  </si>
  <si>
    <t>TOTAL</t>
  </si>
  <si>
    <t>ECONOMII</t>
  </si>
  <si>
    <t>buget</t>
  </si>
  <si>
    <t>necontractat</t>
  </si>
  <si>
    <t>CROITORU VICTORIA - specialist urban</t>
  </si>
  <si>
    <t>FILIP MARIA - primar urban</t>
  </si>
  <si>
    <t>CIUDIN SILVIU-MIHAI - dentist rural</t>
  </si>
  <si>
    <t>CARASTOIAN MARIANA THALIDA - dentiist rural</t>
  </si>
  <si>
    <t>NEGOITA VIORICA - dentist rural</t>
  </si>
  <si>
    <t>POPOVSCHI ARISTIDE - primar urban</t>
  </si>
  <si>
    <t>RASPOP KETTY SILVIA - dentist rural</t>
  </si>
  <si>
    <t>CONTRACT</t>
  </si>
  <si>
    <t>SPLENDENT - Dr.Petcu Georgiana - dentist rural</t>
  </si>
  <si>
    <t>FACTURAT</t>
  </si>
  <si>
    <t>S.C.INTERDENTAL - Dr.Ion Irina Madalina Dr.Tudor Mihai Adrian</t>
  </si>
  <si>
    <t>S.C.INTERDENTAL - Dr.Ion Irina Madalina Dr.Tudor Mihai Adrian - dentist urban</t>
  </si>
  <si>
    <t>REFUZ</t>
  </si>
  <si>
    <t>CARASTOIAN MARIANA THALIDA - dentist rural</t>
  </si>
  <si>
    <t>PLĂTIT</t>
  </si>
  <si>
    <t>MARINESCU LIDIA - dentist rural</t>
  </si>
  <si>
    <t>S.C.SPLENDENT SRL - Dr.Petcu Georgiana - dentist rural</t>
  </si>
  <si>
    <t>Data plății</t>
  </si>
  <si>
    <t>aprilie</t>
  </si>
  <si>
    <t>mai</t>
  </si>
  <si>
    <t>DENUMIRE FURNIZOR</t>
  </si>
  <si>
    <t>august</t>
  </si>
  <si>
    <t>CMI Gabriel RUSU- dentist rural</t>
  </si>
  <si>
    <t>noiembrie</t>
  </si>
  <si>
    <t>SITUAȚIE STOMATOLOGI SUME CONTRACTATE ȘI PLĂTITE PENTRU AN 2023</t>
  </si>
  <si>
    <t>ianuarie</t>
  </si>
  <si>
    <t>februarie</t>
  </si>
  <si>
    <t>martie</t>
  </si>
  <si>
    <t>iunie</t>
  </si>
  <si>
    <t>iulie</t>
  </si>
  <si>
    <t>septembrie</t>
  </si>
  <si>
    <t>octombrie</t>
  </si>
  <si>
    <t>decembrie</t>
  </si>
  <si>
    <t>TRIM.I 2023</t>
  </si>
  <si>
    <t>TRIM.II 2023</t>
  </si>
  <si>
    <t>TRIM.III 2023</t>
  </si>
  <si>
    <t>TOTAL TRIM IV 2023</t>
  </si>
  <si>
    <t>TOTAL AN  2023</t>
  </si>
  <si>
    <t>SITUATIE STOMATOLOGI SUME FACTURATE ȘI REFUZATE AN 2023</t>
  </si>
  <si>
    <t>BUGET 2023</t>
  </si>
  <si>
    <t>rest ianuarie</t>
  </si>
  <si>
    <t>total ianuarie</t>
  </si>
  <si>
    <t>CMI DR Mihai Daniela Aurora- dentist urban</t>
  </si>
  <si>
    <t xml:space="preserve"> total mai</t>
  </si>
  <si>
    <t>rest mai</t>
  </si>
  <si>
    <t>CMI STOMATOLOGIE DOBRE CATALIN- dentist rural</t>
  </si>
  <si>
    <t>CMI DR. VASILE CRISTIAN- dentist rural</t>
  </si>
  <si>
    <t>CABINET STOMATOLOGIC DR DOBRESCU DORIAN - dentist rural</t>
  </si>
  <si>
    <t>ALECU MONALISA SRL - dentist rural</t>
  </si>
  <si>
    <t>RDC PROSMILE DENT SRL - dentist urban</t>
  </si>
  <si>
    <t xml:space="preserve">IULIE </t>
  </si>
  <si>
    <t>AUGUST</t>
  </si>
  <si>
    <t xml:space="preserve">SEPTEMBRIE </t>
  </si>
  <si>
    <t xml:space="preserve">OCTOMBRIE </t>
  </si>
  <si>
    <t>NOIEMBRIE</t>
  </si>
  <si>
    <t>DECEMBRIE</t>
  </si>
  <si>
    <r>
      <t xml:space="preserve">PRO SMILE SRL - </t>
    </r>
    <r>
      <rPr>
        <b/>
        <sz val="9"/>
        <rFont val="Arial"/>
        <family val="2"/>
      </rPr>
      <t>PETRACHE RALUCA - SPECIALIST RURAL,NETSOVA STANISLAVA -MEDIC RURAL</t>
    </r>
  </si>
  <si>
    <t>14.12.2023 - EC NOIEMBRIE</t>
  </si>
  <si>
    <t>TRIM.I 2024</t>
  </si>
  <si>
    <t>TRIM.II 2024</t>
  </si>
  <si>
    <t>TRIM.III 2024</t>
  </si>
  <si>
    <t>TOTAL TRIM IV 2024</t>
  </si>
  <si>
    <t>TOTAL AN  2024</t>
  </si>
  <si>
    <t>29.12.2023 - repartizare valori luna ianuarie</t>
  </si>
  <si>
    <t>SITUAȚIE STOMATOLOGI SUME CONTRACTATE ȘI PLĂTITE PENTRU AN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</si>
</sst>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[$-418]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8]d\ mmmm\ 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sz val="10"/>
      <color rgb="FFFF33CC"/>
      <name val="Arial"/>
      <family val="2"/>
    </font>
    <font>
      <sz val="10"/>
      <color theme="1"/>
      <name val="Arial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17" fontId="2" fillId="0" borderId="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7" fontId="2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 wrapText="1"/>
    </xf>
    <xf numFmtId="17" fontId="2" fillId="34" borderId="10" xfId="0" applyNumberFormat="1" applyFont="1" applyFill="1" applyBorder="1" applyAlignment="1">
      <alignment horizontal="right" vertical="center" wrapText="1"/>
    </xf>
    <xf numFmtId="17" fontId="0" fillId="34" borderId="11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" fontId="0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 wrapText="1"/>
    </xf>
    <xf numFmtId="1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/>
    </xf>
    <xf numFmtId="14" fontId="2" fillId="34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4" fontId="5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51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50" fillId="0" borderId="12" xfId="0" applyNumberFormat="1" applyFont="1" applyBorder="1" applyAlignment="1">
      <alignment horizontal="center"/>
    </xf>
    <xf numFmtId="17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10.140625" style="0" bestFit="1" customWidth="1"/>
  </cols>
  <sheetData>
    <row r="4" spans="2:3" ht="12.75">
      <c r="B4" s="30"/>
      <c r="C4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3.8515625" style="0" customWidth="1"/>
    <col min="2" max="2" width="11.57421875" style="0" customWidth="1"/>
    <col min="3" max="3" width="10.28125" style="0" customWidth="1"/>
    <col min="4" max="4" width="11.140625" style="0" customWidth="1"/>
    <col min="5" max="5" width="8.421875" style="0" customWidth="1"/>
    <col min="6" max="6" width="11.57421875" style="0" customWidth="1"/>
    <col min="7" max="7" width="8.421875" style="0" customWidth="1"/>
    <col min="8" max="8" width="12.00390625" style="0" customWidth="1"/>
    <col min="9" max="9" width="8.7109375" style="0" customWidth="1"/>
    <col min="10" max="10" width="12.28125" style="0" customWidth="1"/>
    <col min="11" max="11" width="9.28125" style="0" bestFit="1" customWidth="1"/>
    <col min="12" max="12" width="11.28125" style="0" customWidth="1"/>
    <col min="13" max="13" width="8.140625" style="0" customWidth="1"/>
    <col min="14" max="14" width="11.140625" style="0" customWidth="1"/>
    <col min="15" max="15" width="8.57421875" style="0" customWidth="1"/>
    <col min="16" max="16" width="11.28125" style="0" customWidth="1"/>
    <col min="17" max="17" width="9.28125" style="0" bestFit="1" customWidth="1"/>
    <col min="18" max="18" width="11.421875" style="0" customWidth="1"/>
    <col min="19" max="19" width="9.28125" style="0" customWidth="1"/>
    <col min="20" max="20" width="13.7109375" style="0" customWidth="1"/>
    <col min="21" max="21" width="10.8515625" style="0" customWidth="1"/>
    <col min="22" max="22" width="11.7109375" style="0" customWidth="1"/>
    <col min="23" max="23" width="9.28125" style="0" customWidth="1"/>
    <col min="24" max="24" width="11.7109375" style="0" customWidth="1"/>
    <col min="25" max="25" width="9.28125" style="0" bestFit="1" customWidth="1"/>
    <col min="26" max="26" width="12.7109375" style="0" customWidth="1"/>
    <col min="27" max="27" width="9.28125" style="0" customWidth="1"/>
    <col min="28" max="28" width="11.7109375" style="0" customWidth="1"/>
    <col min="29" max="29" width="9.28125" style="0" customWidth="1"/>
    <col min="30" max="30" width="11.8515625" style="0" customWidth="1"/>
    <col min="31" max="31" width="10.57421875" style="0" customWidth="1"/>
    <col min="32" max="32" width="12.421875" style="0" customWidth="1"/>
    <col min="33" max="33" width="9.28125" style="0" customWidth="1"/>
    <col min="34" max="34" width="11.8515625" style="0" customWidth="1"/>
    <col min="35" max="35" width="9.28125" style="0" customWidth="1"/>
    <col min="36" max="36" width="11.28125" style="0" customWidth="1"/>
    <col min="37" max="37" width="9.28125" style="0" customWidth="1"/>
    <col min="38" max="38" width="13.00390625" style="0" customWidth="1"/>
    <col min="39" max="39" width="12.8515625" style="0" customWidth="1"/>
    <col min="40" max="40" width="10.57421875" style="0" customWidth="1"/>
    <col min="41" max="41" width="10.140625" style="0" bestFit="1" customWidth="1"/>
  </cols>
  <sheetData>
    <row r="1" ht="12.75">
      <c r="A1" s="17"/>
    </row>
    <row r="3" ht="12.75">
      <c r="A3" s="23" t="s">
        <v>43</v>
      </c>
    </row>
    <row r="4" ht="12.75">
      <c r="A4" s="23"/>
    </row>
    <row r="5" spans="2:37" ht="12.75">
      <c r="B5">
        <v>1</v>
      </c>
      <c r="D5">
        <v>2</v>
      </c>
      <c r="F5">
        <v>3</v>
      </c>
      <c r="H5">
        <v>4</v>
      </c>
      <c r="J5">
        <v>5</v>
      </c>
      <c r="L5">
        <v>6</v>
      </c>
      <c r="N5">
        <v>7</v>
      </c>
      <c r="P5">
        <v>8</v>
      </c>
      <c r="S5">
        <v>9</v>
      </c>
      <c r="U5">
        <v>10</v>
      </c>
      <c r="W5">
        <v>11</v>
      </c>
      <c r="Y5">
        <v>12</v>
      </c>
      <c r="AA5">
        <v>13</v>
      </c>
      <c r="AC5">
        <v>14</v>
      </c>
      <c r="AE5">
        <v>15</v>
      </c>
      <c r="AG5">
        <v>16</v>
      </c>
      <c r="AI5">
        <v>17</v>
      </c>
      <c r="AK5">
        <v>18</v>
      </c>
    </row>
    <row r="6" spans="1:40" ht="12.75">
      <c r="A6" s="97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90"/>
      <c r="T6" s="90"/>
      <c r="U6" s="90"/>
      <c r="V6" s="90"/>
      <c r="W6" s="90"/>
      <c r="X6" s="90"/>
      <c r="Y6" s="90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91" t="s">
        <v>1</v>
      </c>
      <c r="AM6" s="92"/>
      <c r="AN6" s="86" t="s">
        <v>19</v>
      </c>
    </row>
    <row r="7" spans="1:40" ht="51.75" customHeight="1">
      <c r="A7" s="98"/>
      <c r="B7" s="101" t="s">
        <v>5</v>
      </c>
      <c r="C7" s="102"/>
      <c r="D7" s="96" t="s">
        <v>20</v>
      </c>
      <c r="E7" s="96"/>
      <c r="F7" s="96" t="s">
        <v>6</v>
      </c>
      <c r="G7" s="96"/>
      <c r="H7" s="96" t="s">
        <v>7</v>
      </c>
      <c r="I7" s="96"/>
      <c r="J7" s="101" t="s">
        <v>8</v>
      </c>
      <c r="K7" s="102"/>
      <c r="L7" s="101" t="s">
        <v>9</v>
      </c>
      <c r="M7" s="102"/>
      <c r="N7" s="101" t="s">
        <v>10</v>
      </c>
      <c r="O7" s="102"/>
      <c r="P7" s="96" t="s">
        <v>11</v>
      </c>
      <c r="Q7" s="96"/>
      <c r="R7" s="99" t="s">
        <v>21</v>
      </c>
      <c r="S7" s="100"/>
      <c r="T7" s="99" t="s">
        <v>47</v>
      </c>
      <c r="U7" s="100"/>
      <c r="V7" s="99" t="s">
        <v>27</v>
      </c>
      <c r="W7" s="100"/>
      <c r="X7" s="99" t="s">
        <v>15</v>
      </c>
      <c r="Y7" s="100"/>
      <c r="Z7" s="95" t="s">
        <v>50</v>
      </c>
      <c r="AA7" s="95"/>
      <c r="AB7" s="95" t="s">
        <v>51</v>
      </c>
      <c r="AC7" s="95"/>
      <c r="AD7" s="95" t="s">
        <v>52</v>
      </c>
      <c r="AE7" s="95"/>
      <c r="AF7" s="95" t="s">
        <v>53</v>
      </c>
      <c r="AG7" s="95"/>
      <c r="AH7" s="99" t="s">
        <v>54</v>
      </c>
      <c r="AI7" s="100"/>
      <c r="AJ7" s="99" t="s">
        <v>61</v>
      </c>
      <c r="AK7" s="100"/>
      <c r="AL7" s="93"/>
      <c r="AM7" s="94"/>
      <c r="AN7" s="87"/>
    </row>
    <row r="8" spans="1:40" ht="25.5">
      <c r="A8" s="3"/>
      <c r="B8" s="2" t="s">
        <v>14</v>
      </c>
      <c r="C8" s="2" t="s">
        <v>17</v>
      </c>
      <c r="D8" s="2" t="s">
        <v>14</v>
      </c>
      <c r="E8" s="2" t="s">
        <v>17</v>
      </c>
      <c r="F8" s="2" t="s">
        <v>14</v>
      </c>
      <c r="G8" s="2" t="s">
        <v>17</v>
      </c>
      <c r="H8" s="2" t="s">
        <v>14</v>
      </c>
      <c r="I8" s="2" t="s">
        <v>17</v>
      </c>
      <c r="J8" s="2" t="s">
        <v>14</v>
      </c>
      <c r="K8" s="2" t="s">
        <v>17</v>
      </c>
      <c r="L8" s="2" t="s">
        <v>14</v>
      </c>
      <c r="M8" s="2" t="s">
        <v>17</v>
      </c>
      <c r="N8" s="2" t="s">
        <v>14</v>
      </c>
      <c r="O8" s="2" t="s">
        <v>17</v>
      </c>
      <c r="P8" s="2" t="s">
        <v>14</v>
      </c>
      <c r="Q8" s="2" t="s">
        <v>17</v>
      </c>
      <c r="R8" s="2" t="s">
        <v>14</v>
      </c>
      <c r="S8" s="2" t="s">
        <v>17</v>
      </c>
      <c r="T8" s="2" t="s">
        <v>14</v>
      </c>
      <c r="U8" s="2" t="s">
        <v>17</v>
      </c>
      <c r="V8" s="2" t="s">
        <v>14</v>
      </c>
      <c r="W8" s="2" t="s">
        <v>17</v>
      </c>
      <c r="X8" s="2" t="s">
        <v>14</v>
      </c>
      <c r="Y8" s="2" t="s">
        <v>17</v>
      </c>
      <c r="Z8" s="2" t="s">
        <v>14</v>
      </c>
      <c r="AA8" s="2" t="s">
        <v>17</v>
      </c>
      <c r="AB8" s="2" t="s">
        <v>14</v>
      </c>
      <c r="AC8" s="2" t="s">
        <v>17</v>
      </c>
      <c r="AD8" s="2" t="s">
        <v>14</v>
      </c>
      <c r="AE8" s="2" t="s">
        <v>17</v>
      </c>
      <c r="AF8" s="2" t="s">
        <v>14</v>
      </c>
      <c r="AG8" s="2" t="s">
        <v>17</v>
      </c>
      <c r="AH8" s="2" t="s">
        <v>14</v>
      </c>
      <c r="AI8" s="2" t="s">
        <v>17</v>
      </c>
      <c r="AJ8" s="2" t="s">
        <v>14</v>
      </c>
      <c r="AK8" s="2" t="s">
        <v>17</v>
      </c>
      <c r="AL8" s="2" t="s">
        <v>14</v>
      </c>
      <c r="AM8" s="2" t="s">
        <v>17</v>
      </c>
      <c r="AN8" s="88"/>
    </row>
    <row r="9" spans="1:41" ht="12.75">
      <c r="A9" s="44" t="s">
        <v>30</v>
      </c>
      <c r="B9" s="16"/>
      <c r="C9" s="16"/>
      <c r="D9" s="20"/>
      <c r="E9" s="16"/>
      <c r="F9" s="16"/>
      <c r="G9" s="16"/>
      <c r="H9" s="16"/>
      <c r="I9" s="16"/>
      <c r="J9" s="16"/>
      <c r="K9" s="16"/>
      <c r="L9" s="20"/>
      <c r="M9" s="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29">
        <f>X9+V9+R9+P9+N9+L9+J9+H9+F9+D9+B9</f>
        <v>0</v>
      </c>
      <c r="AM9" s="29">
        <f>Y9+W9+S9+Q9+O9+M9+K9+I9+G9+E9+C9</f>
        <v>0</v>
      </c>
      <c r="AN9" s="26">
        <f>AL9-AM9</f>
        <v>0</v>
      </c>
      <c r="AO9" s="30"/>
    </row>
    <row r="10" spans="1:41" ht="12.75">
      <c r="A10" s="44" t="s">
        <v>31</v>
      </c>
      <c r="B10" s="16"/>
      <c r="C10" s="9"/>
      <c r="D10" s="20"/>
      <c r="E10" s="9"/>
      <c r="F10" s="16"/>
      <c r="G10" s="9"/>
      <c r="H10" s="16"/>
      <c r="I10" s="9"/>
      <c r="J10" s="16"/>
      <c r="K10" s="9"/>
      <c r="L10" s="20"/>
      <c r="M10" s="9"/>
      <c r="N10" s="9"/>
      <c r="O10" s="9"/>
      <c r="P10" s="16"/>
      <c r="Q10" s="9"/>
      <c r="R10" s="16"/>
      <c r="S10" s="9"/>
      <c r="T10" s="9"/>
      <c r="U10" s="9"/>
      <c r="V10" s="60"/>
      <c r="W10" s="6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29">
        <f>X10+V10+R10+P10+N10+L10+J10+H10+F10+D10+B10</f>
        <v>0</v>
      </c>
      <c r="AM10" s="29">
        <f>Y10+W10+S10+Q10+O10+M10+K10+I10+G10+E10+C10</f>
        <v>0</v>
      </c>
      <c r="AN10" s="26">
        <f aca="true" t="shared" si="0" ref="AN10:AN23">AL10-AM10</f>
        <v>0</v>
      </c>
      <c r="AO10" s="30"/>
    </row>
    <row r="11" spans="1:41" ht="12.75">
      <c r="A11" s="44" t="s">
        <v>32</v>
      </c>
      <c r="B11" s="19"/>
      <c r="C11" s="9"/>
      <c r="D11" s="20"/>
      <c r="E11" s="9"/>
      <c r="F11" s="16"/>
      <c r="G11" s="9"/>
      <c r="H11" s="9"/>
      <c r="I11" s="9"/>
      <c r="J11" s="16"/>
      <c r="K11" s="9"/>
      <c r="L11" s="20"/>
      <c r="M11" s="9"/>
      <c r="N11" s="20"/>
      <c r="O11" s="9"/>
      <c r="P11" s="9"/>
      <c r="Q11" s="9"/>
      <c r="R11" s="1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29">
        <f>X11+V11+R11+P11+N11+L11+J11+H11+F11+D11+B11+T11</f>
        <v>0</v>
      </c>
      <c r="AM11" s="29">
        <f>Y11+W11+S11+Q11+O11+M11+K11+I11+G11+E11+C11+U11</f>
        <v>0</v>
      </c>
      <c r="AN11" s="26">
        <f t="shared" si="0"/>
        <v>0</v>
      </c>
      <c r="AO11" s="30"/>
    </row>
    <row r="12" spans="1:40" ht="12.75">
      <c r="A12" s="51" t="s">
        <v>63</v>
      </c>
      <c r="B12" s="42">
        <f>B9+B10+B11</f>
        <v>0</v>
      </c>
      <c r="C12" s="42">
        <f aca="true" t="shared" si="1" ref="C12:AI12">C9+C10+C11</f>
        <v>0</v>
      </c>
      <c r="D12" s="42">
        <f t="shared" si="1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>Z9+Z10+Z11</f>
        <v>0</v>
      </c>
      <c r="AA12" s="42">
        <f>AA9+AA10+AA11</f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42">
        <f t="shared" si="1"/>
        <v>0</v>
      </c>
      <c r="AG12" s="42">
        <f t="shared" si="1"/>
        <v>0</v>
      </c>
      <c r="AH12" s="42">
        <f t="shared" si="1"/>
        <v>0</v>
      </c>
      <c r="AI12" s="42">
        <f t="shared" si="1"/>
        <v>0</v>
      </c>
      <c r="AJ12" s="42"/>
      <c r="AK12" s="42"/>
      <c r="AL12" s="43">
        <f>X12+V12+R12+P12+N12+L12+J12+H12+F12+D12+B12+T12+Z12+AB12+AD12+AF12+AH12</f>
        <v>0</v>
      </c>
      <c r="AM12" s="43">
        <f>Y12+W12+S12+Q12+O12+M12+K12+I12+G12+E12+C12+U12+AA12+AC12+AE12+AG12+AI12</f>
        <v>0</v>
      </c>
      <c r="AN12" s="26">
        <f t="shared" si="0"/>
        <v>0</v>
      </c>
    </row>
    <row r="13" spans="1:41" ht="12.75">
      <c r="A13" s="44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9">
        <f>X13+V13+R13+P13+N13+L13+J13+H13+F13+D13+B13+T13</f>
        <v>0</v>
      </c>
      <c r="AM13" s="29">
        <f>Y13+W13+S13+Q13+O13+M13+K13+I13+G13+E13+C13</f>
        <v>0</v>
      </c>
      <c r="AN13" s="26">
        <f t="shared" si="0"/>
        <v>0</v>
      </c>
      <c r="AO13" s="30"/>
    </row>
    <row r="14" spans="1:41" ht="12.75">
      <c r="A14" s="44" t="s">
        <v>24</v>
      </c>
      <c r="B14" s="20"/>
      <c r="C14" s="13"/>
      <c r="D14" s="16"/>
      <c r="E14" s="13"/>
      <c r="F14" s="18"/>
      <c r="G14" s="13"/>
      <c r="H14" s="20"/>
      <c r="I14" s="13"/>
      <c r="J14" s="16"/>
      <c r="K14" s="13"/>
      <c r="L14" s="16"/>
      <c r="M14" s="13"/>
      <c r="N14" s="18"/>
      <c r="O14" s="13"/>
      <c r="P14" s="16"/>
      <c r="Q14" s="13"/>
      <c r="R14" s="16"/>
      <c r="S14" s="13"/>
      <c r="T14" s="13"/>
      <c r="U14" s="13"/>
      <c r="V14" s="13"/>
      <c r="W14" s="13"/>
      <c r="X14" s="16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9">
        <f>X14+V14+R14+P14+N14+L14+J14+H14+F14+D14+B14+T14</f>
        <v>0</v>
      </c>
      <c r="AM14" s="29">
        <f>Y14+W14+S14+Q14+O14+M14+K14+I14+G14+E14+C14</f>
        <v>0</v>
      </c>
      <c r="AN14" s="26">
        <f t="shared" si="0"/>
        <v>0</v>
      </c>
      <c r="AO14" s="30"/>
    </row>
    <row r="15" spans="1:41" ht="12.75">
      <c r="A15" s="44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33"/>
      <c r="U15" s="33"/>
      <c r="V15" s="33"/>
      <c r="W15" s="33"/>
      <c r="X15" s="13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>
        <f>X15+V15+R15+P15+N15+L15+J15+H15+F15+D15+B15+T15</f>
        <v>0</v>
      </c>
      <c r="AM15" s="29">
        <f>Y15+W15+S15+Q15+O15+M15+K15+I15+G15+E15+C15</f>
        <v>0</v>
      </c>
      <c r="AN15" s="26">
        <f t="shared" si="0"/>
        <v>0</v>
      </c>
      <c r="AO15" s="30"/>
    </row>
    <row r="16" spans="1:40" ht="12.75">
      <c r="A16" s="51" t="s">
        <v>64</v>
      </c>
      <c r="B16" s="42">
        <f>B13+B14+B15</f>
        <v>0</v>
      </c>
      <c r="C16" s="42">
        <f aca="true" t="shared" si="2" ref="C16:AI16">C13+C14+C15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  <c r="M16" s="42">
        <f t="shared" si="2"/>
        <v>0</v>
      </c>
      <c r="N16" s="42">
        <f t="shared" si="2"/>
        <v>0</v>
      </c>
      <c r="O16" s="42">
        <f t="shared" si="2"/>
        <v>0</v>
      </c>
      <c r="P16" s="42">
        <f t="shared" si="2"/>
        <v>0</v>
      </c>
      <c r="Q16" s="42">
        <f t="shared" si="2"/>
        <v>0</v>
      </c>
      <c r="R16" s="42">
        <f t="shared" si="2"/>
        <v>0</v>
      </c>
      <c r="S16" s="42">
        <f t="shared" si="2"/>
        <v>0</v>
      </c>
      <c r="T16" s="42">
        <f t="shared" si="2"/>
        <v>0</v>
      </c>
      <c r="U16" s="42">
        <f t="shared" si="2"/>
        <v>0</v>
      </c>
      <c r="V16" s="42">
        <f t="shared" si="2"/>
        <v>0</v>
      </c>
      <c r="W16" s="42">
        <f t="shared" si="2"/>
        <v>0</v>
      </c>
      <c r="X16" s="42">
        <f t="shared" si="2"/>
        <v>0</v>
      </c>
      <c r="Y16" s="42">
        <f t="shared" si="2"/>
        <v>0</v>
      </c>
      <c r="Z16" s="42">
        <f>Z13+Z14+Z15</f>
        <v>0</v>
      </c>
      <c r="AA16" s="42">
        <f t="shared" si="2"/>
        <v>0</v>
      </c>
      <c r="AB16" s="42">
        <f t="shared" si="2"/>
        <v>0</v>
      </c>
      <c r="AC16" s="42">
        <f t="shared" si="2"/>
        <v>0</v>
      </c>
      <c r="AD16" s="42">
        <f t="shared" si="2"/>
        <v>0</v>
      </c>
      <c r="AE16" s="42">
        <f t="shared" si="2"/>
        <v>0</v>
      </c>
      <c r="AF16" s="42">
        <f t="shared" si="2"/>
        <v>0</v>
      </c>
      <c r="AG16" s="42">
        <f t="shared" si="2"/>
        <v>0</v>
      </c>
      <c r="AH16" s="42">
        <f t="shared" si="2"/>
        <v>0</v>
      </c>
      <c r="AI16" s="42">
        <f t="shared" si="2"/>
        <v>0</v>
      </c>
      <c r="AJ16" s="42"/>
      <c r="AK16" s="42"/>
      <c r="AL16" s="43">
        <f>X16+V16+R16+P16+N16+L16+J16+H16+F16+D16+B16+T16+Z16+AB16+AD16+AF16+AH16</f>
        <v>0</v>
      </c>
      <c r="AM16" s="43">
        <f>Y16+W16+S16+Q16+O16+M16+K16+I16+G16+E16+C16+U16+AA16+AC16+AE16+AG16+AI16</f>
        <v>0</v>
      </c>
      <c r="AN16" s="26">
        <f t="shared" si="0"/>
        <v>0</v>
      </c>
    </row>
    <row r="17" spans="1:41" ht="12.75">
      <c r="A17" s="44" t="s">
        <v>34</v>
      </c>
      <c r="B17" s="22"/>
      <c r="C17" s="13"/>
      <c r="D17" s="50"/>
      <c r="E17" s="13"/>
      <c r="F17" s="22"/>
      <c r="G17" s="13"/>
      <c r="H17" s="50"/>
      <c r="I17" s="13"/>
      <c r="J17" s="13"/>
      <c r="K17" s="13"/>
      <c r="L17" s="13"/>
      <c r="M17" s="13"/>
      <c r="N17" s="13"/>
      <c r="O17" s="13"/>
      <c r="P17" s="22"/>
      <c r="Q17" s="13"/>
      <c r="R17" s="22"/>
      <c r="S17" s="45"/>
      <c r="T17" s="45"/>
      <c r="U17" s="45"/>
      <c r="V17" s="16"/>
      <c r="W17" s="16"/>
      <c r="X17" s="22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29">
        <f>X17+V17+R17+P17+N17+L17+J17+H17+F17+D17+B17+Z17+AB17+AD17+AF17+AH17+T17</f>
        <v>0</v>
      </c>
      <c r="AM17" s="29">
        <f>Y17+W17+S17+Q17+O17+M17+K17+I17+G17+E17+C17+AA17+AC17+AE17+AG17+AI17</f>
        <v>0</v>
      </c>
      <c r="AN17" s="26">
        <f t="shared" si="0"/>
        <v>0</v>
      </c>
      <c r="AO17" s="30"/>
    </row>
    <row r="18" spans="1:41" ht="12.75">
      <c r="A18" s="44" t="s">
        <v>26</v>
      </c>
      <c r="B18" s="13"/>
      <c r="C18" s="22"/>
      <c r="D18" s="13"/>
      <c r="E18" s="22"/>
      <c r="F18" s="13"/>
      <c r="G18" s="22"/>
      <c r="H18" s="13"/>
      <c r="I18" s="22"/>
      <c r="J18" s="13"/>
      <c r="K18" s="22"/>
      <c r="L18" s="41"/>
      <c r="M18" s="22"/>
      <c r="N18" s="41"/>
      <c r="O18" s="22"/>
      <c r="P18" s="13"/>
      <c r="Q18" s="22"/>
      <c r="R18" s="13"/>
      <c r="S18" s="16"/>
      <c r="T18" s="16"/>
      <c r="U18" s="16"/>
      <c r="V18" s="16"/>
      <c r="W18" s="16"/>
      <c r="X18" s="13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29">
        <f>X18+V18+R18+P18+N18+L18+J18+H18+F18+D18+B18+Z18+AB18+AD18+AF18+AH18+T18</f>
        <v>0</v>
      </c>
      <c r="AM18" s="29">
        <f>Y18+W18+S18+Q18+O18+M18+K18+I18+G18+E18+C18+AA18+AC18+AE18+AG18+AI18</f>
        <v>0</v>
      </c>
      <c r="AN18" s="26">
        <f t="shared" si="0"/>
        <v>0</v>
      </c>
      <c r="AO18" s="30"/>
    </row>
    <row r="19" spans="1:41" ht="12.75">
      <c r="A19" s="44" t="s">
        <v>35</v>
      </c>
      <c r="B19" s="13"/>
      <c r="C19" s="13"/>
      <c r="D19" s="16"/>
      <c r="E19" s="13"/>
      <c r="F19" s="19"/>
      <c r="G19" s="13"/>
      <c r="H19" s="16"/>
      <c r="I19" s="13"/>
      <c r="J19" s="13"/>
      <c r="K19" s="13"/>
      <c r="L19" s="13"/>
      <c r="M19" s="13"/>
      <c r="N19" s="20"/>
      <c r="O19" s="13"/>
      <c r="P19" s="13"/>
      <c r="Q19" s="13"/>
      <c r="R19" s="16"/>
      <c r="S19" s="16"/>
      <c r="T19" s="16"/>
      <c r="U19" s="16"/>
      <c r="V19" s="16"/>
      <c r="W19" s="16"/>
      <c r="X19" s="16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9">
        <f>X19+V19+R19+P19+N19+L19+J19+H19+F19+D19+B19+Z19+AB19+AD19+AF19+AH19+T19</f>
        <v>0</v>
      </c>
      <c r="AM19" s="29">
        <f>Y19+W19+S19+Q19+O19+M19+K19+I19+G19+E19+C19+AA19+AC19+AE19+AG19+AI19</f>
        <v>0</v>
      </c>
      <c r="AN19" s="26">
        <f t="shared" si="0"/>
        <v>0</v>
      </c>
      <c r="AO19" s="30"/>
    </row>
    <row r="20" spans="1:40" ht="12.75">
      <c r="A20" s="51" t="s">
        <v>65</v>
      </c>
      <c r="B20" s="42">
        <f>B17+B18+B19</f>
        <v>0</v>
      </c>
      <c r="C20" s="42">
        <f aca="true" t="shared" si="3" ref="C20:AI20">C17+C18+C19</f>
        <v>0</v>
      </c>
      <c r="D20" s="42">
        <f t="shared" si="3"/>
        <v>0</v>
      </c>
      <c r="E20" s="42">
        <f t="shared" si="3"/>
        <v>0</v>
      </c>
      <c r="F20" s="42">
        <f t="shared" si="3"/>
        <v>0</v>
      </c>
      <c r="G20" s="42">
        <f t="shared" si="3"/>
        <v>0</v>
      </c>
      <c r="H20" s="42">
        <f t="shared" si="3"/>
        <v>0</v>
      </c>
      <c r="I20" s="42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0</v>
      </c>
      <c r="M20" s="42">
        <f t="shared" si="3"/>
        <v>0</v>
      </c>
      <c r="N20" s="42">
        <f t="shared" si="3"/>
        <v>0</v>
      </c>
      <c r="O20" s="42">
        <f t="shared" si="3"/>
        <v>0</v>
      </c>
      <c r="P20" s="42">
        <f t="shared" si="3"/>
        <v>0</v>
      </c>
      <c r="Q20" s="42">
        <f t="shared" si="3"/>
        <v>0</v>
      </c>
      <c r="R20" s="42">
        <f t="shared" si="3"/>
        <v>0</v>
      </c>
      <c r="S20" s="42">
        <f t="shared" si="3"/>
        <v>0</v>
      </c>
      <c r="T20" s="42">
        <f t="shared" si="3"/>
        <v>0</v>
      </c>
      <c r="U20" s="42">
        <f t="shared" si="3"/>
        <v>0</v>
      </c>
      <c r="V20" s="42">
        <f t="shared" si="3"/>
        <v>0</v>
      </c>
      <c r="W20" s="42">
        <f t="shared" si="3"/>
        <v>0</v>
      </c>
      <c r="X20" s="42">
        <f t="shared" si="3"/>
        <v>0</v>
      </c>
      <c r="Y20" s="42">
        <f t="shared" si="3"/>
        <v>0</v>
      </c>
      <c r="Z20" s="42">
        <f t="shared" si="3"/>
        <v>0</v>
      </c>
      <c r="AA20" s="42">
        <f t="shared" si="3"/>
        <v>0</v>
      </c>
      <c r="AB20" s="42">
        <f t="shared" si="3"/>
        <v>0</v>
      </c>
      <c r="AC20" s="42">
        <f t="shared" si="3"/>
        <v>0</v>
      </c>
      <c r="AD20" s="42">
        <f t="shared" si="3"/>
        <v>0</v>
      </c>
      <c r="AE20" s="42">
        <f t="shared" si="3"/>
        <v>0</v>
      </c>
      <c r="AF20" s="42">
        <f t="shared" si="3"/>
        <v>0</v>
      </c>
      <c r="AG20" s="42">
        <f t="shared" si="3"/>
        <v>0</v>
      </c>
      <c r="AH20" s="42">
        <f t="shared" si="3"/>
        <v>0</v>
      </c>
      <c r="AI20" s="42">
        <f t="shared" si="3"/>
        <v>0</v>
      </c>
      <c r="AJ20" s="42"/>
      <c r="AK20" s="42"/>
      <c r="AL20" s="43">
        <f>X20+V20+R20+P20+N20+L20+J20+H20+F20+D20+B20+T20+Z20+AB20+AD20+AF20+AH20</f>
        <v>0</v>
      </c>
      <c r="AM20" s="43">
        <f>Y20+W20+S20+Q20+O20+M20+K20+I20+G20+E20+C20+U20+AA20+AC20+AE20+AG20+AI20</f>
        <v>0</v>
      </c>
      <c r="AN20" s="26">
        <f t="shared" si="0"/>
        <v>0</v>
      </c>
    </row>
    <row r="21" spans="1:40" ht="12.75">
      <c r="A21" s="44" t="s">
        <v>36</v>
      </c>
      <c r="B21" s="10"/>
      <c r="C21" s="10"/>
      <c r="D21" s="13"/>
      <c r="E21" s="10"/>
      <c r="F21" s="13"/>
      <c r="G21" s="10"/>
      <c r="H21" s="10"/>
      <c r="I21" s="10"/>
      <c r="J21" s="13"/>
      <c r="K21" s="10"/>
      <c r="L21" s="13"/>
      <c r="M21" s="10"/>
      <c r="N21" s="13"/>
      <c r="O21" s="10"/>
      <c r="P21" s="10"/>
      <c r="Q21" s="10"/>
      <c r="R21" s="13"/>
      <c r="S21" s="10"/>
      <c r="T21" s="10"/>
      <c r="U21" s="10"/>
      <c r="V21" s="10"/>
      <c r="W21" s="1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77">
        <f>X21+V21+R21+P21+N21+L21+J21+H21+F21+D21+B21+T21+Z21+AB21+AD21+AF21+AH21</f>
        <v>0</v>
      </c>
      <c r="AM21" s="77">
        <f>Y21+W21+S21+Q21+O21+M21+K21+I21+G21+E21+C21+U21+AA21+AC21+AE21+AG21+AI21</f>
        <v>0</v>
      </c>
      <c r="AN21" s="26">
        <f t="shared" si="0"/>
        <v>0</v>
      </c>
    </row>
    <row r="22" spans="1:41" ht="12.75">
      <c r="A22" s="44" t="s">
        <v>28</v>
      </c>
      <c r="B22" s="13"/>
      <c r="C22" s="10"/>
      <c r="D22" s="13"/>
      <c r="E22" s="21"/>
      <c r="F22" s="13"/>
      <c r="G22" s="21"/>
      <c r="H22" s="13"/>
      <c r="I22" s="10"/>
      <c r="J22" s="13"/>
      <c r="K22" s="10"/>
      <c r="L22" s="13"/>
      <c r="M22" s="10"/>
      <c r="N22" s="13"/>
      <c r="O22" s="10"/>
      <c r="P22" s="13"/>
      <c r="Q22" s="10"/>
      <c r="R22" s="13"/>
      <c r="S22" s="10"/>
      <c r="T22" s="10"/>
      <c r="U22" s="10"/>
      <c r="V22" s="10"/>
      <c r="W22" s="10"/>
      <c r="X22" s="2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77">
        <f>X22+V22+R22+P22+N22+L22+J22+H22+F22+D22+B22+T22+Z22+AB22+AD22+AF22+AH22+AJ22</f>
        <v>0</v>
      </c>
      <c r="AM22" s="77">
        <f>Y22+W22+S22+Q22+O22+M22+K22+I22+G22+E22+C22+U22+AA22+AC22+AE22+AG22+AI22+AK22</f>
        <v>0</v>
      </c>
      <c r="AN22" s="26">
        <f t="shared" si="0"/>
        <v>0</v>
      </c>
      <c r="AO22" s="30">
        <v>45271</v>
      </c>
    </row>
    <row r="23" spans="1:40" ht="12.75">
      <c r="A23" s="44" t="s">
        <v>37</v>
      </c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6"/>
      <c r="S23" s="10"/>
      <c r="T23" s="10"/>
      <c r="U23" s="10"/>
      <c r="V23" s="10"/>
      <c r="W23" s="10"/>
      <c r="X23" s="16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77">
        <f>X23+V23+R23+P23+N23+L23+J23+H23+F23+D23+B23+T23+Z23+AB23+AD23+AF23+AH23</f>
        <v>0</v>
      </c>
      <c r="AM23" s="77">
        <f>Y23+W23+S23+Q23+O23+M23+K23+I23+G23+E23+C23+U23+AA23+AC23+AE23+AG23+AI23</f>
        <v>0</v>
      </c>
      <c r="AN23" s="26">
        <f t="shared" si="0"/>
        <v>0</v>
      </c>
    </row>
    <row r="24" spans="1:40" ht="25.5">
      <c r="A24" s="52" t="s">
        <v>66</v>
      </c>
      <c r="B24" s="42">
        <f>B21+B22+B23</f>
        <v>0</v>
      </c>
      <c r="C24" s="42">
        <f aca="true" t="shared" si="4" ref="C24:AI24">C21+C22+C23</f>
        <v>0</v>
      </c>
      <c r="D24" s="42">
        <f t="shared" si="4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42">
        <f t="shared" si="4"/>
        <v>0</v>
      </c>
      <c r="AG24" s="42">
        <f t="shared" si="4"/>
        <v>0</v>
      </c>
      <c r="AH24" s="42">
        <f t="shared" si="4"/>
        <v>0</v>
      </c>
      <c r="AI24" s="42">
        <f t="shared" si="4"/>
        <v>0</v>
      </c>
      <c r="AJ24" s="42">
        <f>AJ22+AJ23</f>
        <v>0</v>
      </c>
      <c r="AK24" s="42"/>
      <c r="AL24" s="43">
        <f>X24+V24+R24+P24+N24+L24+J24+H24+F24+D24+B24+T24+Z24+AB24+AD24+AF24+AH24</f>
        <v>0</v>
      </c>
      <c r="AM24" s="43">
        <f>Y24+W24+S24+Q24+O24+M24+K24+I24+G24+E24+C24+U24+AA24+AC24+AE24+AG24+AI24</f>
        <v>0</v>
      </c>
      <c r="AN24" s="26">
        <f>AL24-AM24</f>
        <v>0</v>
      </c>
    </row>
    <row r="25" spans="1:40" ht="28.5" customHeight="1">
      <c r="A25" s="53" t="s">
        <v>67</v>
      </c>
      <c r="B25" s="42">
        <f>B12+B16+B20+B24</f>
        <v>0</v>
      </c>
      <c r="C25" s="42">
        <f aca="true" t="shared" si="5" ref="C25:W25">C12+C16+C20+C24</f>
        <v>0</v>
      </c>
      <c r="D25" s="42">
        <f t="shared" si="5"/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0</v>
      </c>
      <c r="Q25" s="42">
        <f t="shared" si="5"/>
        <v>0</v>
      </c>
      <c r="R25" s="42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2">
        <f t="shared" si="5"/>
        <v>0</v>
      </c>
      <c r="X25" s="42">
        <f>X12+X16+X20+X24</f>
        <v>0</v>
      </c>
      <c r="Y25" s="42">
        <f aca="true" t="shared" si="6" ref="Y25:AK25">Y12+Y16+Y20+Y24</f>
        <v>0</v>
      </c>
      <c r="Z25" s="42">
        <f t="shared" si="6"/>
        <v>0</v>
      </c>
      <c r="AA25" s="42">
        <f t="shared" si="6"/>
        <v>0</v>
      </c>
      <c r="AB25" s="42">
        <f t="shared" si="6"/>
        <v>0</v>
      </c>
      <c r="AC25" s="42">
        <f t="shared" si="6"/>
        <v>0</v>
      </c>
      <c r="AD25" s="42">
        <f t="shared" si="6"/>
        <v>0</v>
      </c>
      <c r="AE25" s="42">
        <f t="shared" si="6"/>
        <v>0</v>
      </c>
      <c r="AF25" s="42">
        <f t="shared" si="6"/>
        <v>0</v>
      </c>
      <c r="AG25" s="42">
        <f t="shared" si="6"/>
        <v>0</v>
      </c>
      <c r="AH25" s="42">
        <f t="shared" si="6"/>
        <v>0</v>
      </c>
      <c r="AI25" s="42">
        <f t="shared" si="6"/>
        <v>0</v>
      </c>
      <c r="AJ25" s="42">
        <f t="shared" si="6"/>
        <v>0</v>
      </c>
      <c r="AK25" s="42">
        <f t="shared" si="6"/>
        <v>0</v>
      </c>
      <c r="AL25" s="43">
        <f>X25+T25+V25+R25+P25+N25+L25+J25+H25+F25+D25+B25+Z25+AB25+AD25+AF25+AH25</f>
        <v>0</v>
      </c>
      <c r="AM25" s="43">
        <f>Y25+W25+S25+Q25+O25+M25+K25+I25+G25+E25+C25+U25+AA25+AC25+AE25+AG25+AI25</f>
        <v>0</v>
      </c>
      <c r="AN25" s="26">
        <f>AL25-AM25</f>
        <v>0</v>
      </c>
    </row>
    <row r="26" ht="12.75">
      <c r="A26" s="12"/>
    </row>
    <row r="27" ht="12.75">
      <c r="A27" s="12"/>
    </row>
    <row r="28" ht="12.75">
      <c r="A28" s="12"/>
    </row>
  </sheetData>
  <sheetProtection/>
  <mergeCells count="22">
    <mergeCell ref="AH7:AI7"/>
    <mergeCell ref="AD7:AE7"/>
    <mergeCell ref="A6:A7"/>
    <mergeCell ref="X7:Y7"/>
    <mergeCell ref="D7:E7"/>
    <mergeCell ref="F7:G7"/>
    <mergeCell ref="R7:S7"/>
    <mergeCell ref="J7:K7"/>
    <mergeCell ref="V7:W7"/>
    <mergeCell ref="T7:U7"/>
    <mergeCell ref="B7:C7"/>
    <mergeCell ref="N7:O7"/>
    <mergeCell ref="AN6:AN8"/>
    <mergeCell ref="B6:Y6"/>
    <mergeCell ref="AL6:AM7"/>
    <mergeCell ref="Z7:AA7"/>
    <mergeCell ref="AB7:AC7"/>
    <mergeCell ref="H7:I7"/>
    <mergeCell ref="P7:Q7"/>
    <mergeCell ref="AJ7:AK7"/>
    <mergeCell ref="L7:M7"/>
    <mergeCell ref="AF7:AG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="96" zoomScaleNormal="96" zoomScalePageLayoutView="0" workbookViewId="0" topLeftCell="A13">
      <selection activeCell="E94" sqref="E94"/>
    </sheetView>
  </sheetViews>
  <sheetFormatPr defaultColWidth="9.140625" defaultRowHeight="12.75"/>
  <cols>
    <col min="1" max="2" width="11.8515625" style="0" customWidth="1"/>
    <col min="3" max="3" width="11.00390625" style="0" customWidth="1"/>
    <col min="4" max="4" width="11.8515625" style="0" customWidth="1"/>
    <col min="5" max="5" width="10.140625" style="0" customWidth="1"/>
    <col min="6" max="6" width="11.8515625" style="0" customWidth="1"/>
    <col min="7" max="7" width="11.28125" style="0" customWidth="1"/>
    <col min="8" max="8" width="12.28125" style="0" customWidth="1"/>
    <col min="9" max="9" width="11.140625" style="0" customWidth="1"/>
    <col min="10" max="10" width="12.00390625" style="0" customWidth="1"/>
    <col min="11" max="11" width="10.421875" style="0" customWidth="1"/>
    <col min="12" max="12" width="11.7109375" style="0" customWidth="1"/>
    <col min="13" max="13" width="11.421875" style="0" customWidth="1"/>
    <col min="14" max="14" width="11.7109375" style="0" customWidth="1"/>
    <col min="15" max="15" width="9.28125" style="0" customWidth="1"/>
    <col min="16" max="16" width="12.421875" style="0" customWidth="1"/>
    <col min="17" max="17" width="11.00390625" style="0" customWidth="1"/>
    <col min="18" max="18" width="12.28125" style="0" customWidth="1"/>
    <col min="19" max="19" width="11.57421875" style="0" customWidth="1"/>
    <col min="20" max="20" width="12.00390625" style="0" customWidth="1"/>
    <col min="21" max="21" width="11.28125" style="0" customWidth="1"/>
    <col min="22" max="22" width="12.28125" style="0" customWidth="1"/>
    <col min="23" max="23" width="10.140625" style="0" customWidth="1"/>
    <col min="24" max="24" width="12.57421875" style="0" customWidth="1"/>
    <col min="25" max="25" width="10.28125" style="0" customWidth="1"/>
    <col min="26" max="26" width="12.140625" style="0" customWidth="1"/>
    <col min="27" max="27" width="10.00390625" style="0" customWidth="1"/>
    <col min="28" max="28" width="11.7109375" style="0" customWidth="1"/>
    <col min="29" max="29" width="9.57421875" style="0" customWidth="1"/>
    <col min="30" max="30" width="11.8515625" style="0" customWidth="1"/>
    <col min="31" max="31" width="10.28125" style="0" customWidth="1"/>
    <col min="32" max="32" width="12.57421875" style="0" customWidth="1"/>
    <col min="33" max="33" width="10.28125" style="0" customWidth="1"/>
    <col min="34" max="34" width="12.140625" style="0" customWidth="1"/>
    <col min="35" max="35" width="10.421875" style="0" customWidth="1"/>
    <col min="36" max="36" width="12.140625" style="0" customWidth="1"/>
    <col min="37" max="37" width="9.00390625" style="0" customWidth="1"/>
    <col min="38" max="38" width="12.7109375" style="0" customWidth="1"/>
    <col min="39" max="39" width="11.57421875" style="0" customWidth="1"/>
    <col min="40" max="40" width="11.28125" style="0" customWidth="1"/>
    <col min="41" max="41" width="13.57421875" style="0" customWidth="1"/>
  </cols>
  <sheetData>
    <row r="1" spans="1:7" ht="12.75">
      <c r="A1" s="25"/>
      <c r="B1" s="24"/>
      <c r="C1" s="11"/>
      <c r="F1" s="11"/>
      <c r="G1" s="1"/>
    </row>
    <row r="4" ht="12.75">
      <c r="A4" s="64" t="s">
        <v>62</v>
      </c>
    </row>
    <row r="5" ht="12.75">
      <c r="A5" s="23" t="s">
        <v>29</v>
      </c>
    </row>
    <row r="6" ht="12.75">
      <c r="A6" s="23"/>
    </row>
    <row r="7" spans="2:37" ht="12.75">
      <c r="B7">
        <v>1</v>
      </c>
      <c r="D7">
        <v>2</v>
      </c>
      <c r="F7">
        <v>3</v>
      </c>
      <c r="H7">
        <v>4</v>
      </c>
      <c r="J7">
        <v>5</v>
      </c>
      <c r="L7">
        <v>6</v>
      </c>
      <c r="N7">
        <v>7</v>
      </c>
      <c r="P7">
        <v>8</v>
      </c>
      <c r="S7">
        <v>9</v>
      </c>
      <c r="T7">
        <v>10</v>
      </c>
      <c r="W7">
        <v>11</v>
      </c>
      <c r="X7">
        <v>12</v>
      </c>
      <c r="Y7">
        <v>13</v>
      </c>
      <c r="AA7">
        <v>14</v>
      </c>
      <c r="AC7">
        <v>15</v>
      </c>
      <c r="AE7">
        <v>16</v>
      </c>
      <c r="AG7">
        <v>17</v>
      </c>
      <c r="AI7" s="12">
        <v>18</v>
      </c>
      <c r="AJ7">
        <v>19</v>
      </c>
      <c r="AK7">
        <v>20</v>
      </c>
    </row>
    <row r="8" spans="1:40" ht="12.75">
      <c r="A8" s="97" t="s">
        <v>0</v>
      </c>
      <c r="B8" s="89" t="s">
        <v>25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  <c r="U8" s="90"/>
      <c r="V8" s="90"/>
      <c r="W8" s="90"/>
      <c r="X8" s="90"/>
      <c r="Y8" s="90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103" t="s">
        <v>1</v>
      </c>
      <c r="AM8" s="104"/>
      <c r="AN8" s="4"/>
    </row>
    <row r="9" spans="1:41" ht="60" customHeight="1">
      <c r="A9" s="98"/>
      <c r="B9" s="96" t="s">
        <v>5</v>
      </c>
      <c r="C9" s="96"/>
      <c r="D9" s="101" t="s">
        <v>10</v>
      </c>
      <c r="E9" s="102"/>
      <c r="F9" s="96" t="s">
        <v>6</v>
      </c>
      <c r="G9" s="96"/>
      <c r="H9" s="96" t="s">
        <v>7</v>
      </c>
      <c r="I9" s="96"/>
      <c r="J9" s="101" t="s">
        <v>18</v>
      </c>
      <c r="K9" s="102"/>
      <c r="L9" s="101" t="s">
        <v>9</v>
      </c>
      <c r="M9" s="102"/>
      <c r="N9" s="96" t="s">
        <v>20</v>
      </c>
      <c r="O9" s="96"/>
      <c r="P9" s="96" t="s">
        <v>11</v>
      </c>
      <c r="Q9" s="96"/>
      <c r="R9" s="99" t="s">
        <v>27</v>
      </c>
      <c r="S9" s="100"/>
      <c r="T9" s="99" t="s">
        <v>13</v>
      </c>
      <c r="U9" s="100"/>
      <c r="V9" s="99" t="s">
        <v>47</v>
      </c>
      <c r="W9" s="100"/>
      <c r="X9" s="99" t="s">
        <v>16</v>
      </c>
      <c r="Y9" s="100"/>
      <c r="Z9" s="95" t="s">
        <v>50</v>
      </c>
      <c r="AA9" s="95"/>
      <c r="AB9" s="95" t="s">
        <v>51</v>
      </c>
      <c r="AC9" s="95"/>
      <c r="AD9" s="95" t="s">
        <v>52</v>
      </c>
      <c r="AE9" s="95"/>
      <c r="AF9" s="95" t="s">
        <v>53</v>
      </c>
      <c r="AG9" s="95"/>
      <c r="AH9" s="99" t="s">
        <v>54</v>
      </c>
      <c r="AI9" s="100"/>
      <c r="AJ9" s="99" t="s">
        <v>61</v>
      </c>
      <c r="AK9" s="100"/>
      <c r="AL9" s="99" t="s">
        <v>1</v>
      </c>
      <c r="AM9" s="100"/>
      <c r="AN9" s="47" t="s">
        <v>2</v>
      </c>
      <c r="AO9" s="48" t="s">
        <v>22</v>
      </c>
    </row>
    <row r="10" spans="1:41" ht="12.75">
      <c r="A10" s="3"/>
      <c r="B10" s="2" t="s">
        <v>12</v>
      </c>
      <c r="C10" s="2" t="s">
        <v>19</v>
      </c>
      <c r="D10" s="2" t="s">
        <v>12</v>
      </c>
      <c r="E10" s="2" t="s">
        <v>19</v>
      </c>
      <c r="F10" s="2" t="s">
        <v>12</v>
      </c>
      <c r="G10" s="2" t="s">
        <v>19</v>
      </c>
      <c r="H10" s="2" t="s">
        <v>12</v>
      </c>
      <c r="I10" s="2" t="s">
        <v>19</v>
      </c>
      <c r="J10" s="2" t="s">
        <v>12</v>
      </c>
      <c r="K10" s="2" t="s">
        <v>19</v>
      </c>
      <c r="L10" s="2" t="s">
        <v>12</v>
      </c>
      <c r="M10" s="2" t="s">
        <v>19</v>
      </c>
      <c r="N10" s="2" t="s">
        <v>12</v>
      </c>
      <c r="O10" s="2" t="s">
        <v>19</v>
      </c>
      <c r="P10" s="2" t="s">
        <v>12</v>
      </c>
      <c r="Q10" s="2" t="s">
        <v>19</v>
      </c>
      <c r="R10" s="2" t="s">
        <v>12</v>
      </c>
      <c r="S10" s="2" t="s">
        <v>19</v>
      </c>
      <c r="T10" s="2" t="s">
        <v>12</v>
      </c>
      <c r="U10" s="2" t="s">
        <v>19</v>
      </c>
      <c r="V10" s="2" t="s">
        <v>12</v>
      </c>
      <c r="W10" s="2" t="s">
        <v>19</v>
      </c>
      <c r="X10" s="2" t="s">
        <v>12</v>
      </c>
      <c r="Y10" s="2" t="s">
        <v>19</v>
      </c>
      <c r="Z10" s="2" t="s">
        <v>12</v>
      </c>
      <c r="AA10" s="2" t="s">
        <v>19</v>
      </c>
      <c r="AB10" s="2" t="s">
        <v>12</v>
      </c>
      <c r="AC10" s="2" t="s">
        <v>19</v>
      </c>
      <c r="AD10" s="2" t="s">
        <v>12</v>
      </c>
      <c r="AE10" s="2" t="s">
        <v>19</v>
      </c>
      <c r="AF10" s="2" t="s">
        <v>12</v>
      </c>
      <c r="AG10" s="2" t="s">
        <v>19</v>
      </c>
      <c r="AH10" s="2" t="s">
        <v>12</v>
      </c>
      <c r="AI10" s="2" t="s">
        <v>19</v>
      </c>
      <c r="AJ10" s="2"/>
      <c r="AK10" s="2"/>
      <c r="AL10" s="2" t="s">
        <v>12</v>
      </c>
      <c r="AM10" s="2" t="s">
        <v>19</v>
      </c>
      <c r="AN10" s="4"/>
      <c r="AO10" s="4"/>
    </row>
    <row r="11" spans="1:41" ht="12.75">
      <c r="A11" s="54">
        <v>44896</v>
      </c>
      <c r="B11" s="16">
        <f>1492.54+1712.34+684.9</f>
        <v>3889.78</v>
      </c>
      <c r="C11" s="55">
        <v>3838</v>
      </c>
      <c r="D11" s="55">
        <f>1791.05+2054.8+821.92+174.25</f>
        <v>4842.02</v>
      </c>
      <c r="E11" s="55">
        <v>4814</v>
      </c>
      <c r="F11" s="55">
        <f>1791.05+2054.8+821.92</f>
        <v>4667.77</v>
      </c>
      <c r="G11" s="55">
        <v>4413</v>
      </c>
      <c r="H11" s="55">
        <f>1791.04+2054.79+821.92</f>
        <v>4667.75</v>
      </c>
      <c r="I11" s="55">
        <v>4516</v>
      </c>
      <c r="J11" s="55">
        <f>1791.04+2054.79+821.92+174.24</f>
        <v>4841.99</v>
      </c>
      <c r="K11" s="55">
        <v>4807</v>
      </c>
      <c r="L11" s="55">
        <f>1791.04+2054.79+821.92-463.27+174.24</f>
        <v>4378.719999999999</v>
      </c>
      <c r="M11" s="55">
        <v>4378.72</v>
      </c>
      <c r="N11" s="55">
        <f>1791.04+2054.79+821.92+174.24</f>
        <v>4841.99</v>
      </c>
      <c r="O11" s="55">
        <v>4695</v>
      </c>
      <c r="P11" s="55">
        <f>1791.04+2054.79+821.92+174.24</f>
        <v>4841.99</v>
      </c>
      <c r="Q11" s="55">
        <v>4837</v>
      </c>
      <c r="R11" s="16">
        <f>2054.79+821.92-20.78+174.24</f>
        <v>3030.17</v>
      </c>
      <c r="S11" s="16">
        <v>3030.17</v>
      </c>
      <c r="T11" s="55">
        <f>1791.04+2054.79+821.92</f>
        <v>4667.75</v>
      </c>
      <c r="U11" s="16">
        <v>4649</v>
      </c>
      <c r="V11" s="16"/>
      <c r="W11" s="16"/>
      <c r="X11" s="16">
        <f>2388.08+2739.74+1095.9</f>
        <v>6223.719999999999</v>
      </c>
      <c r="Y11" s="16">
        <v>6113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2">
        <f>X11+T11+R11+P11+N11+L11+J11+H11+F11+D11+B11+AP11+V11</f>
        <v>50893.649999999994</v>
      </c>
      <c r="AM11" s="2">
        <f>Y11+U11+S11+Q11+O11+M11+K11+I11+G11+E11+C11+AQ11+W11</f>
        <v>50090.89</v>
      </c>
      <c r="AN11" s="5">
        <f>AL11-AM11</f>
        <v>802.7599999999948</v>
      </c>
      <c r="AO11" s="28">
        <v>44943</v>
      </c>
    </row>
    <row r="12" spans="1:41" ht="12.75">
      <c r="A12" s="44" t="s">
        <v>30</v>
      </c>
      <c r="B12" s="19"/>
      <c r="C12" s="16">
        <v>3937.87</v>
      </c>
      <c r="D12" s="18"/>
      <c r="E12" s="5">
        <v>4579.99</v>
      </c>
      <c r="F12" s="20"/>
      <c r="G12" s="16">
        <v>4522.89</v>
      </c>
      <c r="H12" s="18"/>
      <c r="I12" s="16">
        <v>4776.56</v>
      </c>
      <c r="J12" s="18"/>
      <c r="K12" s="16">
        <v>4750.35</v>
      </c>
      <c r="L12" s="18"/>
      <c r="M12" s="20">
        <v>4979.67</v>
      </c>
      <c r="N12" s="18"/>
      <c r="O12" s="16">
        <v>4849.57</v>
      </c>
      <c r="P12" s="18"/>
      <c r="Q12" s="18">
        <v>4723.07</v>
      </c>
      <c r="R12" s="18"/>
      <c r="S12" s="18">
        <v>4962.83</v>
      </c>
      <c r="T12" s="18"/>
      <c r="U12" s="18">
        <v>4720.39</v>
      </c>
      <c r="V12" s="18"/>
      <c r="W12" s="18"/>
      <c r="X12" s="20"/>
      <c r="Y12" s="16">
        <v>6121.63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29">
        <f>B12+D12+H12+J12+L12+N12+P12+T12+X12+R12+F12</f>
        <v>0</v>
      </c>
      <c r="AM12" s="29">
        <f>Y12+U12+S12+Q12+O12+M12+K12+I12+G12+E12+C12</f>
        <v>52924.81999999999</v>
      </c>
      <c r="AN12" s="26"/>
      <c r="AO12" s="28">
        <v>44973</v>
      </c>
    </row>
    <row r="13" spans="1:41" ht="12.75">
      <c r="A13" s="58" t="s">
        <v>45</v>
      </c>
      <c r="B13" s="19"/>
      <c r="C13" s="16">
        <v>269.13</v>
      </c>
      <c r="D13" s="18"/>
      <c r="E13" s="5">
        <v>313.01</v>
      </c>
      <c r="F13" s="20"/>
      <c r="G13" s="16">
        <v>309.11</v>
      </c>
      <c r="H13" s="18"/>
      <c r="I13" s="16">
        <v>326.44</v>
      </c>
      <c r="J13" s="18"/>
      <c r="K13" s="16">
        <v>324.65</v>
      </c>
      <c r="L13" s="18"/>
      <c r="M13" s="20">
        <v>340.33</v>
      </c>
      <c r="N13" s="18"/>
      <c r="O13" s="16">
        <v>331.43</v>
      </c>
      <c r="P13" s="18"/>
      <c r="Q13" s="18">
        <v>322.73</v>
      </c>
      <c r="R13" s="18"/>
      <c r="S13" s="18">
        <v>339.17</v>
      </c>
      <c r="T13" s="18"/>
      <c r="U13" s="18">
        <v>322.61</v>
      </c>
      <c r="V13" s="18"/>
      <c r="W13" s="18"/>
      <c r="X13" s="20"/>
      <c r="Y13" s="16">
        <v>418.37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9">
        <f>B13+D13+H13+J13+L13+N13+P13+T13+X13+R13+F13</f>
        <v>0</v>
      </c>
      <c r="AM13" s="29">
        <f>Y13+U13+S13+Q13+O13+M13+K13+I13+G13+E13+C13</f>
        <v>3616.9800000000005</v>
      </c>
      <c r="AN13" s="26"/>
      <c r="AO13" s="28">
        <v>44998</v>
      </c>
    </row>
    <row r="14" spans="1:41" ht="12.75">
      <c r="A14" s="58" t="s">
        <v>46</v>
      </c>
      <c r="B14" s="19">
        <f>4254-47</f>
        <v>4207</v>
      </c>
      <c r="C14" s="16">
        <f>SUM(C12:C13)</f>
        <v>4207</v>
      </c>
      <c r="D14" s="18">
        <f>5104.32-211.32</f>
        <v>4893</v>
      </c>
      <c r="E14" s="5">
        <f>SUM(E12:E13)</f>
        <v>4893</v>
      </c>
      <c r="F14" s="20">
        <f>5104.32-272.32</f>
        <v>4832</v>
      </c>
      <c r="G14" s="16">
        <f>SUM(G12:G13)</f>
        <v>4832</v>
      </c>
      <c r="H14" s="18">
        <f>5104.48-1.48</f>
        <v>5103</v>
      </c>
      <c r="I14" s="16">
        <f>SUM(I12:I13)</f>
        <v>5103</v>
      </c>
      <c r="J14" s="18">
        <f>5104.48-29.48</f>
        <v>5075</v>
      </c>
      <c r="K14" s="16">
        <f>SUM(K12:K13)</f>
        <v>5075</v>
      </c>
      <c r="L14" s="18">
        <f>5104.48+215.52</f>
        <v>5320</v>
      </c>
      <c r="M14" s="59">
        <f>SUM(M12:M13)</f>
        <v>5320</v>
      </c>
      <c r="N14" s="18">
        <f>5104.48+76.52</f>
        <v>5181</v>
      </c>
      <c r="O14" s="59">
        <f>SUM(O12:O13)</f>
        <v>5181</v>
      </c>
      <c r="P14" s="18">
        <f>5104.48-58.68</f>
        <v>5045.799999999999</v>
      </c>
      <c r="Q14" s="18">
        <f>SUM(Q12:Q13)</f>
        <v>5045.799999999999</v>
      </c>
      <c r="R14" s="18">
        <f>5104.48+197.52</f>
        <v>5302</v>
      </c>
      <c r="S14" s="60">
        <f>SUM(S12:S13)</f>
        <v>5302</v>
      </c>
      <c r="T14" s="18">
        <f>5104.48-61.48</f>
        <v>5043</v>
      </c>
      <c r="U14" s="18">
        <f>SUM(U12:U13)</f>
        <v>5043</v>
      </c>
      <c r="V14" s="18"/>
      <c r="W14" s="18"/>
      <c r="X14" s="20">
        <f>6806-266</f>
        <v>6540</v>
      </c>
      <c r="Y14" s="16">
        <f>SUM(Y12:Y13)</f>
        <v>6540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29">
        <f>B14+D14+H14+J14+L14+N14+P14+T14+X14+R14+F14</f>
        <v>56541.8</v>
      </c>
      <c r="AM14" s="29">
        <f>Y14+U14+S14+Q14+O14+M14+K14+I14+G14+E14+C14</f>
        <v>56541.8</v>
      </c>
      <c r="AN14" s="26">
        <f>AL14-AM14</f>
        <v>0</v>
      </c>
      <c r="AO14" s="28"/>
    </row>
    <row r="15" spans="1:41" ht="12.75">
      <c r="A15" s="44" t="s">
        <v>31</v>
      </c>
      <c r="B15" s="19">
        <f>4254+47-629</f>
        <v>3672</v>
      </c>
      <c r="C15" s="16">
        <v>3672</v>
      </c>
      <c r="D15" s="18">
        <f>5104.32+211.32-11.64</f>
        <v>5303.999999999999</v>
      </c>
      <c r="E15" s="5">
        <v>5304</v>
      </c>
      <c r="F15" s="20">
        <f>5104.32+272.32-54.64</f>
        <v>5321.999999999999</v>
      </c>
      <c r="G15" s="16">
        <v>5322</v>
      </c>
      <c r="H15" s="18">
        <f>5104.48+1.48-135.96</f>
        <v>4969.999999999999</v>
      </c>
      <c r="I15" s="16">
        <v>4970</v>
      </c>
      <c r="J15" s="18">
        <f>5104.48+29.48-30.96</f>
        <v>5102.999999999999</v>
      </c>
      <c r="K15" s="16">
        <v>5103</v>
      </c>
      <c r="L15" s="18">
        <f>5104.48-215.52+11.04</f>
        <v>4899.999999999999</v>
      </c>
      <c r="M15" s="65">
        <v>4900</v>
      </c>
      <c r="N15" s="18">
        <f>5104.48-76.52+18.04</f>
        <v>5045.999999999999</v>
      </c>
      <c r="O15" s="63">
        <v>5046</v>
      </c>
      <c r="P15" s="18">
        <f>5104.48+58.68-31.16</f>
        <v>5132</v>
      </c>
      <c r="Q15" s="18">
        <v>5132</v>
      </c>
      <c r="R15" s="18">
        <f>5104.48-197.52+24.04</f>
        <v>4930.999999999999</v>
      </c>
      <c r="S15" s="60">
        <v>4931</v>
      </c>
      <c r="T15" s="18">
        <f>5104.48+61.48-5.96</f>
        <v>5159.999999999999</v>
      </c>
      <c r="U15" s="18">
        <v>5160</v>
      </c>
      <c r="V15" s="18"/>
      <c r="W15" s="18"/>
      <c r="X15" s="20">
        <f>6806+266-528</f>
        <v>6544</v>
      </c>
      <c r="Y15" s="16">
        <v>6544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29">
        <f>B15+D15+H15+J15+L15+N15+P15+T15+X15+R15+F15</f>
        <v>56084</v>
      </c>
      <c r="AM15" s="29">
        <f>Y15+U15+S15+Q15+O15+M15+K15+I15+G15+E15+C15</f>
        <v>56084</v>
      </c>
      <c r="AN15" s="26">
        <f>AL15-AM15</f>
        <v>0</v>
      </c>
      <c r="AO15" s="28">
        <v>44998</v>
      </c>
    </row>
    <row r="16" spans="1:41" ht="12.75">
      <c r="A16" s="44" t="s">
        <v>32</v>
      </c>
      <c r="B16" s="19">
        <f>4014.09+629-453.09</f>
        <v>4190</v>
      </c>
      <c r="C16" s="9">
        <v>4190</v>
      </c>
      <c r="D16" s="20">
        <f>4816.9+11.64-12.54</f>
        <v>4816</v>
      </c>
      <c r="E16" s="9">
        <v>4816</v>
      </c>
      <c r="F16" s="20">
        <f>4816.9+54.64-31.54</f>
        <v>4840</v>
      </c>
      <c r="G16" s="9">
        <v>4840</v>
      </c>
      <c r="H16" s="20">
        <f>4816.9+135.96-44.86</f>
        <v>4908</v>
      </c>
      <c r="I16" s="9">
        <v>4908</v>
      </c>
      <c r="J16" s="20">
        <f>4816.9+30.96-7.86</f>
        <v>4840</v>
      </c>
      <c r="K16" s="9">
        <v>4840</v>
      </c>
      <c r="L16" s="20">
        <f>4816.9-11.04-52.86</f>
        <v>4753</v>
      </c>
      <c r="M16" s="9">
        <v>4753</v>
      </c>
      <c r="N16" s="20">
        <f>4816.9-18.04-3.86</f>
        <v>4795</v>
      </c>
      <c r="O16" s="9">
        <v>4795</v>
      </c>
      <c r="P16" s="20">
        <f>4816.9+31.16-31.06</f>
        <v>4816.999999999999</v>
      </c>
      <c r="Q16" s="9">
        <v>4817</v>
      </c>
      <c r="R16" s="20">
        <f>4816.9-24.04-146.86</f>
        <v>4646</v>
      </c>
      <c r="S16" s="9">
        <v>4646</v>
      </c>
      <c r="T16" s="20">
        <f>4816.9+5.96-141.86</f>
        <v>4681</v>
      </c>
      <c r="U16" s="9">
        <v>4681</v>
      </c>
      <c r="V16" s="9">
        <f>3211.27-2473.27</f>
        <v>738</v>
      </c>
      <c r="W16" s="9">
        <v>738</v>
      </c>
      <c r="X16" s="16">
        <f>6422.54+528-261.54</f>
        <v>6689</v>
      </c>
      <c r="Y16" s="9">
        <v>6689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29">
        <f>B16+D16+H16+J16+L16+N16+P16+T16+X16+R16+F16+V16</f>
        <v>54713</v>
      </c>
      <c r="AM16" s="29">
        <f>Y16+U16+S16+Q16+O16+M16+K16+I16+G16+E16+C16+W16</f>
        <v>54713</v>
      </c>
      <c r="AN16" s="26">
        <f>AL16-AM16</f>
        <v>0</v>
      </c>
      <c r="AO16" s="67">
        <v>45037</v>
      </c>
    </row>
    <row r="17" spans="1:41" ht="12.75">
      <c r="A17" s="46" t="s">
        <v>38</v>
      </c>
      <c r="B17" s="37">
        <f aca="true" t="shared" si="0" ref="B17:Y17">B14+B15+B16</f>
        <v>12069</v>
      </c>
      <c r="C17" s="37">
        <f t="shared" si="0"/>
        <v>12069</v>
      </c>
      <c r="D17" s="37">
        <f t="shared" si="0"/>
        <v>15013</v>
      </c>
      <c r="E17" s="37">
        <f t="shared" si="0"/>
        <v>15013</v>
      </c>
      <c r="F17" s="37">
        <f t="shared" si="0"/>
        <v>14994</v>
      </c>
      <c r="G17" s="37">
        <f t="shared" si="0"/>
        <v>14994</v>
      </c>
      <c r="H17" s="37">
        <f t="shared" si="0"/>
        <v>14981</v>
      </c>
      <c r="I17" s="37">
        <f t="shared" si="0"/>
        <v>14981</v>
      </c>
      <c r="J17" s="37">
        <f t="shared" si="0"/>
        <v>15018</v>
      </c>
      <c r="K17" s="37">
        <f t="shared" si="0"/>
        <v>15018</v>
      </c>
      <c r="L17" s="37">
        <f t="shared" si="0"/>
        <v>14973</v>
      </c>
      <c r="M17" s="37">
        <f t="shared" si="0"/>
        <v>14973</v>
      </c>
      <c r="N17" s="37">
        <f t="shared" si="0"/>
        <v>15022</v>
      </c>
      <c r="O17" s="37">
        <f t="shared" si="0"/>
        <v>15022</v>
      </c>
      <c r="P17" s="37">
        <f t="shared" si="0"/>
        <v>14994.8</v>
      </c>
      <c r="Q17" s="37">
        <f t="shared" si="0"/>
        <v>14994.8</v>
      </c>
      <c r="R17" s="37">
        <f t="shared" si="0"/>
        <v>14879</v>
      </c>
      <c r="S17" s="37">
        <f t="shared" si="0"/>
        <v>14879</v>
      </c>
      <c r="T17" s="37">
        <f t="shared" si="0"/>
        <v>14884</v>
      </c>
      <c r="U17" s="37">
        <f t="shared" si="0"/>
        <v>14884</v>
      </c>
      <c r="V17" s="37">
        <f t="shared" si="0"/>
        <v>738</v>
      </c>
      <c r="W17" s="37">
        <f t="shared" si="0"/>
        <v>738</v>
      </c>
      <c r="X17" s="37">
        <f t="shared" si="0"/>
        <v>19773</v>
      </c>
      <c r="Y17" s="37">
        <f t="shared" si="0"/>
        <v>19773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>
        <f>AL14+AL15+AL16</f>
        <v>167338.8</v>
      </c>
      <c r="AM17" s="37">
        <f>AM14+AM15+AM16</f>
        <v>167338.8</v>
      </c>
      <c r="AN17" s="37">
        <f>AN14+AN15+AN16</f>
        <v>0</v>
      </c>
      <c r="AO17" s="5"/>
    </row>
    <row r="18" spans="1:41" ht="12.75">
      <c r="A18" s="44" t="s">
        <v>23</v>
      </c>
      <c r="B18" s="20">
        <f>4014.09-428.09</f>
        <v>3586</v>
      </c>
      <c r="C18" s="20">
        <v>3586</v>
      </c>
      <c r="D18" s="18">
        <f>4816.9+732.24-266.14</f>
        <v>5282.999999999999</v>
      </c>
      <c r="E18" s="20">
        <v>5283</v>
      </c>
      <c r="F18" s="18">
        <f>4816.9+732.24-750.14</f>
        <v>4798.999999999999</v>
      </c>
      <c r="G18" s="20">
        <v>4799</v>
      </c>
      <c r="H18" s="18">
        <f>4816.9-31.9</f>
        <v>4785</v>
      </c>
      <c r="I18" s="20">
        <v>4785</v>
      </c>
      <c r="J18" s="18">
        <f>4816.9+732.24-64.14</f>
        <v>5484.999999999999</v>
      </c>
      <c r="K18" s="20">
        <v>5485</v>
      </c>
      <c r="L18" s="18">
        <f>4816.9+13.1</f>
        <v>4830</v>
      </c>
      <c r="M18" s="32">
        <v>4830</v>
      </c>
      <c r="N18" s="18">
        <f>4816.9+732.24+71.86</f>
        <v>5620.999999999999</v>
      </c>
      <c r="O18" s="32">
        <v>5621</v>
      </c>
      <c r="P18" s="18">
        <f>4816.9+732.24-137.14</f>
        <v>5411.999999999999</v>
      </c>
      <c r="Q18" s="20">
        <v>5412</v>
      </c>
      <c r="R18" s="18">
        <f>4816.9+15.1</f>
        <v>4832</v>
      </c>
      <c r="S18" s="41">
        <v>4832</v>
      </c>
      <c r="T18" s="18">
        <f>4816.9-484.9</f>
        <v>4332</v>
      </c>
      <c r="U18" s="20">
        <v>4332</v>
      </c>
      <c r="V18" s="20">
        <f>3211.27+16.73</f>
        <v>3228</v>
      </c>
      <c r="W18" s="41">
        <v>3228</v>
      </c>
      <c r="X18" s="16">
        <f>6422.54-283.54</f>
        <v>6139</v>
      </c>
      <c r="Y18" s="20">
        <v>6139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9">
        <f>B18+D18+F18+H18+J18+L18+N18+P18+T18+X18+R18+V18</f>
        <v>58332</v>
      </c>
      <c r="AM18" s="29">
        <f>C18+E18+G18+I18+K18+M18+O18+Q18+U18+Y18+S18+W18</f>
        <v>58332</v>
      </c>
      <c r="AN18" s="26">
        <f>AL18-AM18</f>
        <v>0</v>
      </c>
      <c r="AO18" s="28">
        <v>45064</v>
      </c>
    </row>
    <row r="19" spans="1:41" ht="12.75">
      <c r="A19" s="44" t="s">
        <v>24</v>
      </c>
      <c r="B19" s="20"/>
      <c r="C19" s="20">
        <v>3408.15</v>
      </c>
      <c r="D19" s="18"/>
      <c r="E19" s="20">
        <v>4592.49</v>
      </c>
      <c r="F19" s="18"/>
      <c r="G19" s="20">
        <v>5309.23</v>
      </c>
      <c r="H19" s="18"/>
      <c r="I19" s="20">
        <v>4581.03</v>
      </c>
      <c r="J19" s="18"/>
      <c r="K19" s="20">
        <v>4644.98</v>
      </c>
      <c r="L19" s="18"/>
      <c r="M19" s="32">
        <v>4609.67</v>
      </c>
      <c r="N19" s="18"/>
      <c r="O19" s="32">
        <v>4612.53</v>
      </c>
      <c r="P19" s="18"/>
      <c r="Q19" s="20">
        <v>4726.1</v>
      </c>
      <c r="R19" s="18"/>
      <c r="S19" s="20">
        <v>4617.3</v>
      </c>
      <c r="T19" s="18"/>
      <c r="U19" s="20">
        <v>4789.09</v>
      </c>
      <c r="V19" s="20"/>
      <c r="W19" s="41">
        <v>3098.88</v>
      </c>
      <c r="X19" s="16"/>
      <c r="Y19" s="20">
        <v>6264.57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9"/>
      <c r="AM19" s="29">
        <f>Y19+W19+U19+S19+Q19+O19+M19+K19+I19+G19+E19+C19</f>
        <v>55254.01999999999</v>
      </c>
      <c r="AN19" s="26"/>
      <c r="AO19" s="28">
        <v>45103</v>
      </c>
    </row>
    <row r="20" spans="1:41" ht="12.75">
      <c r="A20" s="44" t="s">
        <v>49</v>
      </c>
      <c r="B20" s="20"/>
      <c r="C20" s="20">
        <v>162.85</v>
      </c>
      <c r="D20" s="18"/>
      <c r="E20" s="20">
        <v>219.51</v>
      </c>
      <c r="F20" s="18"/>
      <c r="G20" s="20">
        <v>253.77</v>
      </c>
      <c r="H20" s="18"/>
      <c r="I20" s="20">
        <v>218.97</v>
      </c>
      <c r="J20" s="18"/>
      <c r="K20" s="20">
        <v>222.02</v>
      </c>
      <c r="L20" s="18"/>
      <c r="M20" s="32">
        <v>220.33</v>
      </c>
      <c r="N20" s="18"/>
      <c r="O20" s="32">
        <v>220.47</v>
      </c>
      <c r="P20" s="18"/>
      <c r="Q20" s="20">
        <v>225.9</v>
      </c>
      <c r="R20" s="18"/>
      <c r="S20" s="20">
        <v>220.7</v>
      </c>
      <c r="T20" s="18"/>
      <c r="U20" s="20">
        <v>228.91</v>
      </c>
      <c r="V20" s="20"/>
      <c r="W20" s="41">
        <v>351.12</v>
      </c>
      <c r="X20" s="16"/>
      <c r="Y20" s="20">
        <v>299.43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9"/>
      <c r="AM20" s="29">
        <f>Y20+W20+U20+S20+Q20+O20+M20+K20+I20+G20+E20+C20</f>
        <v>2843.98</v>
      </c>
      <c r="AN20" s="26"/>
      <c r="AO20" s="28">
        <v>45128</v>
      </c>
    </row>
    <row r="21" spans="1:41" ht="12.75">
      <c r="A21" s="44" t="s">
        <v>48</v>
      </c>
      <c r="B21" s="20">
        <f>4014.09+428.09-871.18</f>
        <v>3571.0000000000005</v>
      </c>
      <c r="C21" s="20">
        <f>C19+C20</f>
        <v>3571</v>
      </c>
      <c r="D21" s="18">
        <f>4816.9+266.14-271.04</f>
        <v>4812</v>
      </c>
      <c r="E21" s="20">
        <f>E19+E20</f>
        <v>4812</v>
      </c>
      <c r="F21" s="18">
        <f>4816.9+750.14-4.04</f>
        <v>5563</v>
      </c>
      <c r="G21" s="20">
        <f>G19+G20</f>
        <v>5563</v>
      </c>
      <c r="H21" s="18">
        <f>4816.9+31.9-48.8</f>
        <v>4799.999999999999</v>
      </c>
      <c r="I21" s="20">
        <f>I19+I20</f>
        <v>4800</v>
      </c>
      <c r="J21" s="18">
        <f>4816.9+64.14-14.04</f>
        <v>4867</v>
      </c>
      <c r="K21" s="20">
        <f>K19+K20</f>
        <v>4867</v>
      </c>
      <c r="L21" s="18">
        <f>4816.9-13.1+26.2</f>
        <v>4829.999999999999</v>
      </c>
      <c r="M21" s="32">
        <f>M19+M20</f>
        <v>4830</v>
      </c>
      <c r="N21" s="18">
        <f>4816.9-71.86+87.96</f>
        <v>4833</v>
      </c>
      <c r="O21" s="41">
        <f>O19+O20</f>
        <v>4833</v>
      </c>
      <c r="P21" s="18">
        <f>4816.9+137.14-2.04</f>
        <v>4952</v>
      </c>
      <c r="Q21" s="20">
        <f>Q19+Q20</f>
        <v>4952</v>
      </c>
      <c r="R21" s="18">
        <f>4816.9-15.1+36.2</f>
        <v>4837.999999999999</v>
      </c>
      <c r="S21" s="41">
        <f>S19+S20</f>
        <v>4838</v>
      </c>
      <c r="T21" s="18">
        <f>4816.9+484.9-283.8</f>
        <v>5017.999999999999</v>
      </c>
      <c r="U21" s="20">
        <f>U19+U20</f>
        <v>5018</v>
      </c>
      <c r="V21" s="20">
        <f>3211.27-16.73+255.46</f>
        <v>3450</v>
      </c>
      <c r="W21" s="41">
        <f>W19+W20</f>
        <v>3450</v>
      </c>
      <c r="X21" s="16">
        <f>6422.54+283.54-142.08</f>
        <v>6564</v>
      </c>
      <c r="Y21" s="20">
        <f>Y19+Y20</f>
        <v>6564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9">
        <f>B21+D21+F21+H21+J21+L21+N21+P21+T21+X21+R21+V21</f>
        <v>58098</v>
      </c>
      <c r="AM21" s="29">
        <f>C21+E21+G21+I21+K21+M21+O21+Q21+U21+Y21+S21+W21</f>
        <v>58098</v>
      </c>
      <c r="AN21" s="26">
        <f aca="true" t="shared" si="1" ref="AN21:AN27">AL21-AM21</f>
        <v>0</v>
      </c>
      <c r="AO21" s="4"/>
    </row>
    <row r="22" spans="1:41" ht="12.75">
      <c r="A22" s="44" t="s">
        <v>33</v>
      </c>
      <c r="B22" s="20">
        <f>4014.09+871.18-141.27</f>
        <v>4744</v>
      </c>
      <c r="C22" s="20">
        <v>4744</v>
      </c>
      <c r="D22" s="18">
        <f>4816.9+271.04-183.94</f>
        <v>4904</v>
      </c>
      <c r="E22" s="20">
        <v>4904</v>
      </c>
      <c r="F22" s="18">
        <f>4816.9+4.04-202.94</f>
        <v>4618</v>
      </c>
      <c r="G22" s="20">
        <v>4618</v>
      </c>
      <c r="H22" s="18">
        <f>4816.9+48.8-100.7</f>
        <v>4765</v>
      </c>
      <c r="I22" s="20">
        <v>4765</v>
      </c>
      <c r="J22" s="18">
        <f>4816.9+14.04-63.94</f>
        <v>4767</v>
      </c>
      <c r="K22" s="20">
        <v>4767</v>
      </c>
      <c r="L22" s="18">
        <f>4816.9-26.2-30.7</f>
        <v>4760</v>
      </c>
      <c r="M22" s="20">
        <v>4760</v>
      </c>
      <c r="N22" s="18">
        <f>4816.9-87.96-58.94</f>
        <v>4670</v>
      </c>
      <c r="O22" s="20">
        <v>4670</v>
      </c>
      <c r="P22" s="18">
        <f>4816.9+2.04-2.94</f>
        <v>4816</v>
      </c>
      <c r="Q22" s="20">
        <v>4816</v>
      </c>
      <c r="R22" s="18">
        <f>4816.9-36.2-160.7</f>
        <v>4620</v>
      </c>
      <c r="S22" s="20">
        <v>4620</v>
      </c>
      <c r="T22" s="18">
        <f>4816.9+283.8-189.7</f>
        <v>4911</v>
      </c>
      <c r="U22" s="20">
        <v>4911</v>
      </c>
      <c r="V22" s="20">
        <f>3211.27-255.46-220.81</f>
        <v>2735</v>
      </c>
      <c r="W22" s="20">
        <v>2735</v>
      </c>
      <c r="X22" s="16">
        <f>6422.54+142.08-390.62</f>
        <v>6174</v>
      </c>
      <c r="Y22" s="20">
        <v>6174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9">
        <f>B22+D22+F22+H22+J22+L22+N22+P22+T22+X22+R22+V22</f>
        <v>56484</v>
      </c>
      <c r="AM22" s="29">
        <f>C22+E22+G22+I22+K22+M22+O22+Q22+U22+Y22+S22+W22</f>
        <v>56484</v>
      </c>
      <c r="AN22" s="26">
        <f t="shared" si="1"/>
        <v>0</v>
      </c>
      <c r="AO22" s="28">
        <v>45128</v>
      </c>
    </row>
    <row r="23" spans="1:41" ht="12.75">
      <c r="A23" s="46" t="s">
        <v>39</v>
      </c>
      <c r="B23" s="37">
        <f>SUM(B18:B22)</f>
        <v>11901</v>
      </c>
      <c r="C23" s="37">
        <f>C18+C21+C22</f>
        <v>11901</v>
      </c>
      <c r="D23" s="37">
        <f>SUM(D18:D22)</f>
        <v>14999</v>
      </c>
      <c r="E23" s="37">
        <f>E18+E21+E22</f>
        <v>14999</v>
      </c>
      <c r="F23" s="37">
        <f>SUM(F18:F22)</f>
        <v>14980</v>
      </c>
      <c r="G23" s="37">
        <f>G18+G21+G22</f>
        <v>14980</v>
      </c>
      <c r="H23" s="37">
        <f>SUM(H18:H22)</f>
        <v>14350</v>
      </c>
      <c r="I23" s="37">
        <f>I18+I21+I22</f>
        <v>14350</v>
      </c>
      <c r="J23" s="37">
        <f>SUM(J18:J22)</f>
        <v>15119</v>
      </c>
      <c r="K23" s="37">
        <f>K18+K21+K22</f>
        <v>15119</v>
      </c>
      <c r="L23" s="37">
        <f>SUM(L18:L22)</f>
        <v>14420</v>
      </c>
      <c r="M23" s="37">
        <f>M18+M21+M22</f>
        <v>14420</v>
      </c>
      <c r="N23" s="37">
        <f>SUM(N18:N22)</f>
        <v>15124</v>
      </c>
      <c r="O23" s="37">
        <f>O18+O21+O22</f>
        <v>15124</v>
      </c>
      <c r="P23" s="37">
        <f>SUM(P18:P22)</f>
        <v>15180</v>
      </c>
      <c r="Q23" s="37">
        <f>Q18+Q21+Q22</f>
        <v>15180</v>
      </c>
      <c r="R23" s="37">
        <f>SUM(R18:R22)</f>
        <v>14290</v>
      </c>
      <c r="S23" s="37">
        <f>S18+S21+S22</f>
        <v>14290</v>
      </c>
      <c r="T23" s="37">
        <f>SUM(T18:T22)</f>
        <v>14261</v>
      </c>
      <c r="U23" s="37">
        <f>U18+U21+U22</f>
        <v>14261</v>
      </c>
      <c r="V23" s="37">
        <f>SUM(V18:V22)</f>
        <v>9413</v>
      </c>
      <c r="W23" s="37">
        <f>W18+W21+W22</f>
        <v>9413</v>
      </c>
      <c r="X23" s="37">
        <f>SUM(X18:X22)</f>
        <v>18877</v>
      </c>
      <c r="Y23" s="37">
        <f>Y18+Y21+Y22</f>
        <v>18877</v>
      </c>
      <c r="Z23" s="37">
        <f aca="true" t="shared" si="2" ref="Z23:AI23">SUM(Z18:Z22)</f>
        <v>0</v>
      </c>
      <c r="AA23" s="37">
        <f t="shared" si="2"/>
        <v>0</v>
      </c>
      <c r="AB23" s="37">
        <f t="shared" si="2"/>
        <v>0</v>
      </c>
      <c r="AC23" s="37">
        <f t="shared" si="2"/>
        <v>0</v>
      </c>
      <c r="AD23" s="37">
        <f t="shared" si="2"/>
        <v>0</v>
      </c>
      <c r="AE23" s="37">
        <f t="shared" si="2"/>
        <v>0</v>
      </c>
      <c r="AF23" s="37">
        <f t="shared" si="2"/>
        <v>0</v>
      </c>
      <c r="AG23" s="37">
        <f t="shared" si="2"/>
        <v>0</v>
      </c>
      <c r="AH23" s="37">
        <f t="shared" si="2"/>
        <v>0</v>
      </c>
      <c r="AI23" s="37">
        <f t="shared" si="2"/>
        <v>0</v>
      </c>
      <c r="AJ23" s="37"/>
      <c r="AK23" s="37"/>
      <c r="AL23" s="37">
        <f>SUM(AL18:AL22)</f>
        <v>172914</v>
      </c>
      <c r="AM23" s="37">
        <f>AM18+AM21+AM22</f>
        <v>172914</v>
      </c>
      <c r="AN23" s="38">
        <f t="shared" si="1"/>
        <v>0</v>
      </c>
      <c r="AO23" s="28"/>
    </row>
    <row r="24" spans="1:41" ht="12.75">
      <c r="A24" s="44" t="s">
        <v>34</v>
      </c>
      <c r="B24" s="20">
        <f>6060.59+152.21</f>
        <v>6212.8</v>
      </c>
      <c r="C24" s="78">
        <v>6212.8</v>
      </c>
      <c r="D24" s="18">
        <f>7272.73-252.73</f>
        <v>7020</v>
      </c>
      <c r="E24" s="22">
        <v>7020</v>
      </c>
      <c r="F24" s="18">
        <f>7272.73-72.33</f>
        <v>7200.4</v>
      </c>
      <c r="G24" s="22">
        <v>7200.4</v>
      </c>
      <c r="H24" s="18">
        <f>7272.73-1886.73</f>
        <v>5386</v>
      </c>
      <c r="I24" s="22">
        <v>5386</v>
      </c>
      <c r="J24" s="18">
        <f>7272.73-24.73</f>
        <v>7248</v>
      </c>
      <c r="K24" s="22">
        <v>7248</v>
      </c>
      <c r="L24" s="18">
        <f>7272.73+873.6+57.67</f>
        <v>8204</v>
      </c>
      <c r="M24" s="78">
        <v>8204</v>
      </c>
      <c r="N24" s="18">
        <f>7272.73-22.73</f>
        <v>7250</v>
      </c>
      <c r="O24" s="22">
        <v>7250</v>
      </c>
      <c r="P24" s="18">
        <f>7272.73+873.6-69.13</f>
        <v>8077.2</v>
      </c>
      <c r="Q24" s="22">
        <v>8077.2</v>
      </c>
      <c r="R24" s="18">
        <f>7272.73+36.27</f>
        <v>7309</v>
      </c>
      <c r="S24" s="78">
        <v>7309</v>
      </c>
      <c r="T24" s="18">
        <f>7272.73-38.73</f>
        <v>7234</v>
      </c>
      <c r="U24" s="16">
        <v>7234</v>
      </c>
      <c r="V24" s="18">
        <f>4848.48+231.52</f>
        <v>5080</v>
      </c>
      <c r="W24" s="79">
        <v>5080</v>
      </c>
      <c r="X24" s="16">
        <f>9696.96-29.96</f>
        <v>9667</v>
      </c>
      <c r="Y24" s="16">
        <v>9667</v>
      </c>
      <c r="Z24" s="18">
        <f>7272.73-402.73</f>
        <v>6870</v>
      </c>
      <c r="AA24" s="16">
        <v>6870</v>
      </c>
      <c r="AB24" s="18">
        <f>7272.73-137.73</f>
        <v>7135</v>
      </c>
      <c r="AC24" s="16">
        <v>7135</v>
      </c>
      <c r="AD24" s="18">
        <f>7272.73-1483.73</f>
        <v>5789</v>
      </c>
      <c r="AE24" s="16">
        <v>5789</v>
      </c>
      <c r="AF24" s="18">
        <f>7272.73+9.27</f>
        <v>7282</v>
      </c>
      <c r="AG24" s="79">
        <v>7282</v>
      </c>
      <c r="AH24" s="18">
        <f>4848.48+55.52</f>
        <v>4904</v>
      </c>
      <c r="AI24" s="79">
        <v>4904</v>
      </c>
      <c r="AJ24" s="79"/>
      <c r="AK24" s="79"/>
      <c r="AL24" s="29">
        <f>B24+AM35+D24+F24+H24+J24+L24+N24+P24+T24+X24+R24+V24+Z24+AB24+AD24+AF24+AH24</f>
        <v>117868.4</v>
      </c>
      <c r="AM24" s="29">
        <f>C24+E24+G24+I24+K24+M24+O24+Q24+U24+Y24+S24+AA24+AC24+AE24+AG24+AI24+W24</f>
        <v>117868.4</v>
      </c>
      <c r="AN24" s="26">
        <f t="shared" si="1"/>
        <v>0</v>
      </c>
      <c r="AO24" s="28">
        <v>45159</v>
      </c>
    </row>
    <row r="25" spans="1:41" ht="12.75">
      <c r="A25" s="44" t="s">
        <v>26</v>
      </c>
      <c r="B25" s="20">
        <f>6060.59-152.21+93.22</f>
        <v>6001.6</v>
      </c>
      <c r="C25" s="41">
        <v>6001.6</v>
      </c>
      <c r="D25" s="18">
        <f>7272.73+252.73-371.46</f>
        <v>7153.999999999999</v>
      </c>
      <c r="E25" s="55">
        <v>7154</v>
      </c>
      <c r="F25" s="18">
        <f>7272.73+72.33-1.86</f>
        <v>7343.2</v>
      </c>
      <c r="G25" s="20">
        <v>7343.2</v>
      </c>
      <c r="H25" s="18">
        <f>7272.73+1886.73-3624.46</f>
        <v>5534.999999999999</v>
      </c>
      <c r="I25" s="16">
        <v>5535</v>
      </c>
      <c r="J25" s="18">
        <f>7272.73+24.73-37.46</f>
        <v>7259.999999999999</v>
      </c>
      <c r="K25" s="16">
        <v>7260</v>
      </c>
      <c r="L25" s="18">
        <f>7272.73-57.67+19.94</f>
        <v>7234.999999999999</v>
      </c>
      <c r="M25" s="32">
        <v>7235</v>
      </c>
      <c r="N25" s="18">
        <f>7272.73+22.73-79.46</f>
        <v>7215.999999999999</v>
      </c>
      <c r="O25" s="20">
        <v>7216</v>
      </c>
      <c r="P25" s="18">
        <f>7272.73+69.13-73.46</f>
        <v>7268.4</v>
      </c>
      <c r="Q25" s="16">
        <v>7268.4</v>
      </c>
      <c r="R25" s="18">
        <f>7272.73-36.27-11.46</f>
        <v>7224.999999999999</v>
      </c>
      <c r="S25" s="16">
        <v>7225</v>
      </c>
      <c r="T25" s="18">
        <f>7272.73+38.73-1312.86</f>
        <v>5998.599999999999</v>
      </c>
      <c r="U25" s="20">
        <v>5998.6</v>
      </c>
      <c r="V25" s="18">
        <f>4848.48-231.52-7.96</f>
        <v>4608.999999999999</v>
      </c>
      <c r="W25" s="20">
        <v>4609</v>
      </c>
      <c r="X25" s="16">
        <f>9696.96+29.96-219.92</f>
        <v>9506.999999999998</v>
      </c>
      <c r="Y25" s="16">
        <v>9507</v>
      </c>
      <c r="Z25" s="18">
        <f>7272.73+402.73-1290.46</f>
        <v>6384.999999999999</v>
      </c>
      <c r="AA25" s="16">
        <v>6385</v>
      </c>
      <c r="AB25" s="18">
        <f>7272.73+137.73-254.46</f>
        <v>7155.999999999999</v>
      </c>
      <c r="AC25" s="16">
        <v>7156</v>
      </c>
      <c r="AD25" s="18">
        <f>7272.73+1483.73-787.46</f>
        <v>7968.999999999999</v>
      </c>
      <c r="AE25" s="16">
        <v>7969</v>
      </c>
      <c r="AF25" s="18">
        <f>7272.73-9.27+40.54</f>
        <v>7303.999999999999</v>
      </c>
      <c r="AG25" s="79">
        <v>7304</v>
      </c>
      <c r="AH25" s="18">
        <f>4848.48-55.52+127.04</f>
        <v>4919.999999999999</v>
      </c>
      <c r="AI25" s="79">
        <v>4920</v>
      </c>
      <c r="AJ25" s="79"/>
      <c r="AK25" s="79"/>
      <c r="AL25" s="29">
        <f>B25+AM36+D25+F25+H25+J25+L25+N25+P25+T25+X25+R25+V25+Z25+AB25+AD25+AF25+AH25</f>
        <v>116086.79999999999</v>
      </c>
      <c r="AM25" s="29">
        <f>C25+E25+G25+I25+K25+M25+O25+Q25+U25+Y25+S25+AA25+AC25+AE25+AG25+AI25+W25</f>
        <v>116086.8</v>
      </c>
      <c r="AN25" s="26">
        <f t="shared" si="1"/>
        <v>0</v>
      </c>
      <c r="AO25" s="28">
        <v>45183</v>
      </c>
    </row>
    <row r="26" spans="1:41" ht="12.75">
      <c r="A26" s="44" t="s">
        <v>35</v>
      </c>
      <c r="B26" s="20">
        <f>6060.59-93.22-226.37</f>
        <v>5741</v>
      </c>
      <c r="C26" s="19">
        <v>5741</v>
      </c>
      <c r="D26" s="18">
        <f>7272.73+371.46-32.19</f>
        <v>7612</v>
      </c>
      <c r="E26" s="20">
        <v>7612</v>
      </c>
      <c r="F26" s="18">
        <f>7272.73+1.86-58.19</f>
        <v>7216.4</v>
      </c>
      <c r="G26" s="19">
        <v>7216.4</v>
      </c>
      <c r="H26" s="18">
        <f>7272.73+3624.46-4780.79</f>
        <v>6116.399999999999</v>
      </c>
      <c r="I26" s="9">
        <v>6116.4</v>
      </c>
      <c r="J26" s="18">
        <f>7272.73+37.46-65.19</f>
        <v>7245</v>
      </c>
      <c r="K26" s="9">
        <v>7245</v>
      </c>
      <c r="L26" s="18">
        <f>7272.73-19.94-137.79</f>
        <v>7115</v>
      </c>
      <c r="M26" s="9">
        <v>7115</v>
      </c>
      <c r="N26" s="18">
        <f>7272.73+79.46-189.19</f>
        <v>7163</v>
      </c>
      <c r="O26" s="9">
        <v>7163</v>
      </c>
      <c r="P26" s="18">
        <f>7272.73+73.46-36.19</f>
        <v>7310</v>
      </c>
      <c r="Q26" s="16">
        <v>7310</v>
      </c>
      <c r="R26" s="18">
        <f>7272.73+11.46-67.19</f>
        <v>7217</v>
      </c>
      <c r="S26" s="16">
        <v>7217</v>
      </c>
      <c r="T26" s="18">
        <f>7272.73+1312.86-67.79</f>
        <v>8517.8</v>
      </c>
      <c r="U26" s="16">
        <v>8517.8</v>
      </c>
      <c r="V26" s="18">
        <f>4848.48+7.96-44.44</f>
        <v>4812</v>
      </c>
      <c r="W26" s="9">
        <v>4812</v>
      </c>
      <c r="X26" s="16">
        <f>9696.96+219.92-83.88</f>
        <v>9833</v>
      </c>
      <c r="Y26" s="9">
        <v>9833</v>
      </c>
      <c r="Z26" s="18">
        <f>7272.73+1290.46-32.99</f>
        <v>8530.199999999999</v>
      </c>
      <c r="AA26" s="16">
        <v>8530.2</v>
      </c>
      <c r="AB26" s="18">
        <f>7272.73+254.46-214.19</f>
        <v>7313</v>
      </c>
      <c r="AC26" s="16">
        <v>7313</v>
      </c>
      <c r="AD26" s="18">
        <f>7272.73+787.46-7.19</f>
        <v>8053</v>
      </c>
      <c r="AE26" s="9">
        <v>8053</v>
      </c>
      <c r="AF26" s="18">
        <f>7272.73-40.54-33.19</f>
        <v>7199</v>
      </c>
      <c r="AG26" s="16">
        <v>7199</v>
      </c>
      <c r="AH26" s="18">
        <f>4848.48-127.04-295.44</f>
        <v>4426</v>
      </c>
      <c r="AI26" s="16">
        <v>4426</v>
      </c>
      <c r="AJ26" s="16"/>
      <c r="AK26" s="16"/>
      <c r="AL26" s="29">
        <f>B26+AM37+D26+F26+H26+J26+L26+N26+P26+T26+X26+R26+V26+Z26+AB26+AD26+AF26+AH26</f>
        <v>121419.8</v>
      </c>
      <c r="AM26" s="29">
        <f>C26+E26+G26+I26+K26+M26+O26+Q26+U26+Y26+S26+AA26+AC26+AE26+AG26+AI26+W26</f>
        <v>121419.8</v>
      </c>
      <c r="AN26" s="26">
        <f t="shared" si="1"/>
        <v>0</v>
      </c>
      <c r="AO26" s="28">
        <v>45218</v>
      </c>
    </row>
    <row r="27" spans="1:41" ht="12.75">
      <c r="A27" s="46" t="s">
        <v>40</v>
      </c>
      <c r="B27" s="37">
        <f aca="true" t="shared" si="3" ref="B27:AG27">B24+B25+B26</f>
        <v>17955.4</v>
      </c>
      <c r="C27" s="37">
        <f t="shared" si="3"/>
        <v>17955.4</v>
      </c>
      <c r="D27" s="37">
        <f t="shared" si="3"/>
        <v>21786</v>
      </c>
      <c r="E27" s="37">
        <f t="shared" si="3"/>
        <v>21786</v>
      </c>
      <c r="F27" s="37">
        <f t="shared" si="3"/>
        <v>21760</v>
      </c>
      <c r="G27" s="37">
        <f t="shared" si="3"/>
        <v>21760</v>
      </c>
      <c r="H27" s="37">
        <f t="shared" si="3"/>
        <v>17037.399999999998</v>
      </c>
      <c r="I27" s="37">
        <f t="shared" si="3"/>
        <v>17037.4</v>
      </c>
      <c r="J27" s="37">
        <f t="shared" si="3"/>
        <v>21753</v>
      </c>
      <c r="K27" s="37">
        <f t="shared" si="3"/>
        <v>21753</v>
      </c>
      <c r="L27" s="37">
        <f t="shared" si="3"/>
        <v>22554</v>
      </c>
      <c r="M27" s="37">
        <f t="shared" si="3"/>
        <v>22554</v>
      </c>
      <c r="N27" s="37">
        <f t="shared" si="3"/>
        <v>21629</v>
      </c>
      <c r="O27" s="37">
        <f t="shared" si="3"/>
        <v>21629</v>
      </c>
      <c r="P27" s="37">
        <f t="shared" si="3"/>
        <v>22655.6</v>
      </c>
      <c r="Q27" s="37">
        <f t="shared" si="3"/>
        <v>22655.6</v>
      </c>
      <c r="R27" s="37">
        <f t="shared" si="3"/>
        <v>21751</v>
      </c>
      <c r="S27" s="37">
        <f t="shared" si="3"/>
        <v>21751</v>
      </c>
      <c r="T27" s="37">
        <f t="shared" si="3"/>
        <v>21750.399999999998</v>
      </c>
      <c r="U27" s="37">
        <f t="shared" si="3"/>
        <v>21750.4</v>
      </c>
      <c r="V27" s="37">
        <f t="shared" si="3"/>
        <v>14501</v>
      </c>
      <c r="W27" s="37">
        <f t="shared" si="3"/>
        <v>14501</v>
      </c>
      <c r="X27" s="37">
        <f t="shared" si="3"/>
        <v>29007</v>
      </c>
      <c r="Y27" s="37">
        <f t="shared" si="3"/>
        <v>29007</v>
      </c>
      <c r="Z27" s="37">
        <f t="shared" si="3"/>
        <v>21785.199999999997</v>
      </c>
      <c r="AA27" s="37">
        <f t="shared" si="3"/>
        <v>21785.2</v>
      </c>
      <c r="AB27" s="37">
        <f t="shared" si="3"/>
        <v>21604</v>
      </c>
      <c r="AC27" s="37">
        <f t="shared" si="3"/>
        <v>21604</v>
      </c>
      <c r="AD27" s="37">
        <f t="shared" si="3"/>
        <v>21811</v>
      </c>
      <c r="AE27" s="37">
        <f t="shared" si="3"/>
        <v>21811</v>
      </c>
      <c r="AF27" s="37">
        <f t="shared" si="3"/>
        <v>21785</v>
      </c>
      <c r="AG27" s="37">
        <f t="shared" si="3"/>
        <v>21785</v>
      </c>
      <c r="AH27" s="37">
        <f>AH24+AH25+AH26</f>
        <v>14250</v>
      </c>
      <c r="AI27" s="37">
        <f>AI24+AI25+AI26</f>
        <v>14250</v>
      </c>
      <c r="AJ27" s="37"/>
      <c r="AK27" s="37"/>
      <c r="AL27" s="37">
        <f>AL24+AL25+AL26</f>
        <v>355375</v>
      </c>
      <c r="AM27" s="37">
        <f>AM24+AM25+AM26</f>
        <v>355375</v>
      </c>
      <c r="AN27" s="38">
        <f t="shared" si="1"/>
        <v>0</v>
      </c>
      <c r="AO27" s="36"/>
    </row>
    <row r="28" spans="1:41" ht="12.75">
      <c r="A28" s="44" t="s">
        <v>36</v>
      </c>
      <c r="B28" s="20">
        <f>5050.6+226.37+257.11-168.68</f>
        <v>5365.4</v>
      </c>
      <c r="C28" s="55">
        <v>5365.4</v>
      </c>
      <c r="D28" s="55">
        <f>6060.6+32.19+308.44-131.23</f>
        <v>6270</v>
      </c>
      <c r="E28" s="20">
        <v>6270</v>
      </c>
      <c r="F28" s="55">
        <f>6060.6+58.19+308.44-30.03</f>
        <v>6397.2</v>
      </c>
      <c r="G28" s="55">
        <v>6397.2</v>
      </c>
      <c r="H28" s="55">
        <f>6060.6-37.6</f>
        <v>6023</v>
      </c>
      <c r="I28" s="55">
        <v>6023</v>
      </c>
      <c r="J28" s="55">
        <f>6060.6+65.19+308.44-15.23</f>
        <v>6419</v>
      </c>
      <c r="K28" s="55">
        <v>6419</v>
      </c>
      <c r="L28" s="55">
        <f>6060.6+137.79+308.44+10.17</f>
        <v>6517</v>
      </c>
      <c r="M28" s="41">
        <v>6517</v>
      </c>
      <c r="N28" s="55">
        <f>6060.6+189.19+308.44-63.23</f>
        <v>6495</v>
      </c>
      <c r="O28" s="55">
        <v>6495</v>
      </c>
      <c r="P28" s="55">
        <f>6060.6+36.19+308.44-199.83</f>
        <v>6205.4</v>
      </c>
      <c r="Q28" s="55">
        <v>6205.4</v>
      </c>
      <c r="R28" s="55">
        <f>6060.6+67.19+308.44+23.77</f>
        <v>6460</v>
      </c>
      <c r="S28" s="41">
        <v>6460</v>
      </c>
      <c r="T28" s="55">
        <f>6060.6+67.79+308.44-1162.83</f>
        <v>5274</v>
      </c>
      <c r="U28" s="20">
        <v>5274</v>
      </c>
      <c r="V28" s="55">
        <f>4040.4+44.44+205.6+133.56</f>
        <v>4424.000000000001</v>
      </c>
      <c r="W28" s="20">
        <v>4424</v>
      </c>
      <c r="X28" s="16">
        <f>8080.8+83.88+411.2-31.88</f>
        <v>8544.000000000002</v>
      </c>
      <c r="Y28" s="55">
        <v>8544</v>
      </c>
      <c r="Z28" s="55">
        <f>6060.6+32.99+308.44-2176.03</f>
        <v>4226</v>
      </c>
      <c r="AA28" s="55">
        <v>4226</v>
      </c>
      <c r="AB28" s="55">
        <f>6060.6+214.19+308.44-125.23</f>
        <v>6458</v>
      </c>
      <c r="AC28" s="55">
        <v>6458</v>
      </c>
      <c r="AD28" s="55">
        <f>6060.6+7.19+308.44-1120.23</f>
        <v>5256</v>
      </c>
      <c r="AE28" s="55">
        <v>5256</v>
      </c>
      <c r="AF28" s="55">
        <f>6060.6+33.19+308.44-439.23</f>
        <v>5963</v>
      </c>
      <c r="AG28" s="55">
        <v>5963</v>
      </c>
      <c r="AH28" s="55">
        <f>4040.4+295.44+205.6-332.44</f>
        <v>4209.000000000001</v>
      </c>
      <c r="AI28" s="55">
        <v>4209</v>
      </c>
      <c r="AJ28" s="55">
        <v>0</v>
      </c>
      <c r="AK28" s="55"/>
      <c r="AL28" s="29">
        <f>B28+D28+F28+H28+J28+L28+N28+P28+T28+X28+R28+Z28+AB28+AD28+AF28+AH28+V28+AJ28</f>
        <v>100506</v>
      </c>
      <c r="AM28" s="29">
        <f>C28+E28+G28+I28+K28+M28+O28+Q28+U28+Y28+S28+AA28+AC28+AE28+AG28+AI28+AK28+W28</f>
        <v>100506</v>
      </c>
      <c r="AN28" s="26">
        <f>AL28-AM28</f>
        <v>0</v>
      </c>
      <c r="AO28" s="28">
        <v>45246</v>
      </c>
    </row>
    <row r="29" spans="1:41" ht="12.75">
      <c r="A29" s="44" t="s">
        <v>28</v>
      </c>
      <c r="B29" s="20">
        <f>1515+2223+168.68+370.76-6.44</f>
        <v>4271</v>
      </c>
      <c r="C29" s="55">
        <v>4271</v>
      </c>
      <c r="D29" s="55">
        <f>1818.51+2666+131.23+442-501.74</f>
        <v>4556</v>
      </c>
      <c r="E29" s="56">
        <v>4556</v>
      </c>
      <c r="F29" s="55">
        <f>1818.51+2666+30.03+442-624.94</f>
        <v>4331.6</v>
      </c>
      <c r="G29" s="80">
        <v>4331.6</v>
      </c>
      <c r="H29" s="55">
        <f>1818.18+2667+37.6+442-3577.38</f>
        <v>1387.4000000000005</v>
      </c>
      <c r="I29" s="55">
        <v>1387.4</v>
      </c>
      <c r="J29" s="55">
        <f>1818.18+2667+15.23+442-66.41</f>
        <v>4876</v>
      </c>
      <c r="K29" s="55">
        <v>4876</v>
      </c>
      <c r="L29" s="55">
        <f>1818.18+2667-10.17+442+163.99</f>
        <v>5081</v>
      </c>
      <c r="M29" s="32">
        <v>5081</v>
      </c>
      <c r="N29" s="55">
        <f>1818.18+2667+63.23+442-239.41</f>
        <v>4751</v>
      </c>
      <c r="O29" s="55">
        <v>4751</v>
      </c>
      <c r="P29" s="55">
        <f>1818.18+2667+199.83+442-174.01</f>
        <v>4953</v>
      </c>
      <c r="Q29" s="55">
        <v>4953</v>
      </c>
      <c r="R29" s="55">
        <f>1818.18+2667-23.77+442+244.59</f>
        <v>5148</v>
      </c>
      <c r="S29" s="41">
        <v>5148</v>
      </c>
      <c r="T29" s="55">
        <f>1818.18+2667-21.98</f>
        <v>4463.200000000001</v>
      </c>
      <c r="U29" s="55">
        <v>4463.2</v>
      </c>
      <c r="V29" s="55">
        <f>1212+1777-133.56+294+307.56</f>
        <v>3457</v>
      </c>
      <c r="W29" s="41">
        <v>3457</v>
      </c>
      <c r="X29" s="16">
        <f>2424+3554+31.88+588-175.88</f>
        <v>6422</v>
      </c>
      <c r="Y29" s="55">
        <v>6422</v>
      </c>
      <c r="Z29" s="55">
        <f>1818.18+2667-29.38</f>
        <v>4455.8</v>
      </c>
      <c r="AA29" s="55">
        <v>4455.8</v>
      </c>
      <c r="AB29" s="55">
        <f>1818.18+2667+125.23+442-438.41</f>
        <v>4614</v>
      </c>
      <c r="AC29" s="55">
        <v>4614</v>
      </c>
      <c r="AD29" s="55">
        <f>1818.18+2667-22.18</f>
        <v>4463</v>
      </c>
      <c r="AE29" s="55">
        <v>4463</v>
      </c>
      <c r="AF29" s="55">
        <f>1818.18+2667-164.18</f>
        <v>4321</v>
      </c>
      <c r="AG29" s="55">
        <v>4321</v>
      </c>
      <c r="AH29" s="55">
        <f>1212+1777+271</f>
        <v>3260</v>
      </c>
      <c r="AI29" s="41">
        <v>3260</v>
      </c>
      <c r="AJ29" s="55">
        <f>6000+600</f>
        <v>6600</v>
      </c>
      <c r="AK29" s="41">
        <v>6600</v>
      </c>
      <c r="AL29" s="29">
        <f>B29+D29+F29+H29+J29+L29+N29+P29+T29+X29+R29+Z29+AB29+AD29+AF29+AH29+V29+AJ29</f>
        <v>81411</v>
      </c>
      <c r="AM29" s="29">
        <f>C29+E29+G29+I29+K29+M29+O29+Q29+U29+Y29+S29+AA29+AC29+AE29+AG29+AI29+AK29+W29</f>
        <v>81411</v>
      </c>
      <c r="AN29" s="26">
        <f>AL29-AM29</f>
        <v>0</v>
      </c>
      <c r="AO29" s="28"/>
    </row>
    <row r="30" spans="1:41" ht="12.75">
      <c r="A30" s="44" t="s">
        <v>37</v>
      </c>
      <c r="B30" s="16">
        <f>1161+1336+2089+6.44+290</f>
        <v>4882.44</v>
      </c>
      <c r="C30" s="55"/>
      <c r="D30" s="55">
        <f>1393+1600+2507</f>
        <v>5500</v>
      </c>
      <c r="E30" s="55"/>
      <c r="F30" s="55">
        <f>1393+1600+2507</f>
        <v>5500</v>
      </c>
      <c r="G30" s="55"/>
      <c r="H30" s="55">
        <f>1394.2+1600+2507</f>
        <v>5501.2</v>
      </c>
      <c r="I30" s="55"/>
      <c r="J30" s="55">
        <f>1394.2+1600+2507+66.41+349</f>
        <v>5916.61</v>
      </c>
      <c r="K30" s="55"/>
      <c r="L30" s="55">
        <f>1394.2+1600+2507-163.99+349</f>
        <v>5686.21</v>
      </c>
      <c r="M30" s="55"/>
      <c r="N30" s="55">
        <f>1394.2+1600+2507+239.41+349</f>
        <v>6089.61</v>
      </c>
      <c r="O30" s="55"/>
      <c r="P30" s="55">
        <f>1394.2+1600+2507+174.01+349</f>
        <v>6024.21</v>
      </c>
      <c r="Q30" s="55"/>
      <c r="R30" s="55">
        <f>1394.2+1600+2507-244.59+349</f>
        <v>5605.61</v>
      </c>
      <c r="S30" s="55"/>
      <c r="T30" s="55">
        <f>1394.2+1600+2507+21.98+349</f>
        <v>5872.179999999999</v>
      </c>
      <c r="U30" s="16"/>
      <c r="V30" s="55">
        <f>929.2+1066+1670-307.56+232</f>
        <v>3589.64</v>
      </c>
      <c r="W30" s="16"/>
      <c r="X30" s="16">
        <f>1858.4+2132+3340+175.88+464</f>
        <v>7970.28</v>
      </c>
      <c r="Y30" s="55"/>
      <c r="Z30" s="55">
        <f>1394.2+1600+2507+29.38+349</f>
        <v>5879.58</v>
      </c>
      <c r="AA30" s="55"/>
      <c r="AB30" s="55">
        <f>1394.2+1600+2507</f>
        <v>5501.2</v>
      </c>
      <c r="AC30" s="55"/>
      <c r="AD30" s="55">
        <f>1394.2+1600+2507+22.18+349</f>
        <v>5872.38</v>
      </c>
      <c r="AE30" s="55"/>
      <c r="AF30" s="55">
        <f>1394.2+1600+2507+164.18+349</f>
        <v>6014.38</v>
      </c>
      <c r="AG30" s="55"/>
      <c r="AH30" s="55">
        <f>929.2+1066+1670-271+232</f>
        <v>3626.2</v>
      </c>
      <c r="AI30" s="55"/>
      <c r="AJ30" s="55">
        <f>3600+5640-600+783.47</f>
        <v>9423.47</v>
      </c>
      <c r="AK30" s="55"/>
      <c r="AL30" s="29">
        <f>B30+D30+F30+H30+J30+L30+N30+P30+T30+X30+R30+Z30+AB30+AD30+AF30+AH30+V30+AJ30</f>
        <v>104455.2</v>
      </c>
      <c r="AM30" s="29">
        <f>C30+E30+G30+I30+K30+M30+O30+Q30+U30+Y30+S30+AA30+AC30+AE30+AG30+AI30+AK30</f>
        <v>0</v>
      </c>
      <c r="AN30" s="26">
        <f>AL30-AM30</f>
        <v>104455.2</v>
      </c>
      <c r="AO30" s="28"/>
    </row>
    <row r="31" spans="1:41" ht="38.25">
      <c r="A31" s="49" t="s">
        <v>41</v>
      </c>
      <c r="B31" s="37">
        <f aca="true" t="shared" si="4" ref="B31:AI31">B28+B29+B30</f>
        <v>14518.84</v>
      </c>
      <c r="C31" s="37">
        <f t="shared" si="4"/>
        <v>9636.4</v>
      </c>
      <c r="D31" s="37">
        <f t="shared" si="4"/>
        <v>16326</v>
      </c>
      <c r="E31" s="37">
        <f t="shared" si="4"/>
        <v>10826</v>
      </c>
      <c r="F31" s="37">
        <f t="shared" si="4"/>
        <v>16228.8</v>
      </c>
      <c r="G31" s="37">
        <f t="shared" si="4"/>
        <v>10728.8</v>
      </c>
      <c r="H31" s="37">
        <f t="shared" si="4"/>
        <v>12911.6</v>
      </c>
      <c r="I31" s="37">
        <f t="shared" si="4"/>
        <v>7410.4</v>
      </c>
      <c r="J31" s="37">
        <f t="shared" si="4"/>
        <v>17211.61</v>
      </c>
      <c r="K31" s="37">
        <f t="shared" si="4"/>
        <v>11295</v>
      </c>
      <c r="L31" s="37">
        <f t="shared" si="4"/>
        <v>17284.21</v>
      </c>
      <c r="M31" s="37">
        <f t="shared" si="4"/>
        <v>11598</v>
      </c>
      <c r="N31" s="37">
        <f t="shared" si="4"/>
        <v>17335.61</v>
      </c>
      <c r="O31" s="37">
        <f t="shared" si="4"/>
        <v>11246</v>
      </c>
      <c r="P31" s="37">
        <f t="shared" si="4"/>
        <v>17182.61</v>
      </c>
      <c r="Q31" s="37">
        <f t="shared" si="4"/>
        <v>11158.4</v>
      </c>
      <c r="R31" s="37">
        <f t="shared" si="4"/>
        <v>17213.61</v>
      </c>
      <c r="S31" s="37">
        <f t="shared" si="4"/>
        <v>11608</v>
      </c>
      <c r="T31" s="37">
        <f t="shared" si="4"/>
        <v>15609.380000000001</v>
      </c>
      <c r="U31" s="37">
        <f t="shared" si="4"/>
        <v>9737.2</v>
      </c>
      <c r="V31" s="37">
        <f t="shared" si="4"/>
        <v>11470.640000000001</v>
      </c>
      <c r="W31" s="37">
        <f t="shared" si="4"/>
        <v>7881</v>
      </c>
      <c r="X31" s="37">
        <f t="shared" si="4"/>
        <v>22936.280000000002</v>
      </c>
      <c r="Y31" s="37">
        <f t="shared" si="4"/>
        <v>14966</v>
      </c>
      <c r="Z31" s="37">
        <f t="shared" si="4"/>
        <v>14561.38</v>
      </c>
      <c r="AA31" s="37">
        <f t="shared" si="4"/>
        <v>8681.8</v>
      </c>
      <c r="AB31" s="37">
        <f t="shared" si="4"/>
        <v>16573.2</v>
      </c>
      <c r="AC31" s="37">
        <f t="shared" si="4"/>
        <v>11072</v>
      </c>
      <c r="AD31" s="37">
        <f t="shared" si="4"/>
        <v>15591.380000000001</v>
      </c>
      <c r="AE31" s="37">
        <f t="shared" si="4"/>
        <v>9719</v>
      </c>
      <c r="AF31" s="37">
        <f t="shared" si="4"/>
        <v>16298.380000000001</v>
      </c>
      <c r="AG31" s="37">
        <f t="shared" si="4"/>
        <v>10284</v>
      </c>
      <c r="AH31" s="37">
        <f t="shared" si="4"/>
        <v>11095.2</v>
      </c>
      <c r="AI31" s="37">
        <f t="shared" si="4"/>
        <v>7469</v>
      </c>
      <c r="AJ31" s="37">
        <f>AJ28+AJ29+AJ30</f>
        <v>16023.47</v>
      </c>
      <c r="AK31" s="37">
        <f>AK28+AK29+AK30</f>
        <v>6600</v>
      </c>
      <c r="AL31" s="37">
        <f>AL28+AL29+AL30</f>
        <v>286372.2</v>
      </c>
      <c r="AM31" s="37">
        <f>AM28+AM29+AM30</f>
        <v>181917</v>
      </c>
      <c r="AN31" s="38">
        <f>AL31-AM31</f>
        <v>104455.20000000001</v>
      </c>
      <c r="AO31" s="36"/>
    </row>
    <row r="32" spans="1:41" ht="25.5">
      <c r="A32" s="39" t="s">
        <v>42</v>
      </c>
      <c r="B32" s="37">
        <f aca="true" t="shared" si="5" ref="B32:AG32">B17+B23+B27+B31</f>
        <v>56444.240000000005</v>
      </c>
      <c r="C32" s="37">
        <f t="shared" si="5"/>
        <v>51561.8</v>
      </c>
      <c r="D32" s="37">
        <f t="shared" si="5"/>
        <v>68124</v>
      </c>
      <c r="E32" s="37">
        <f t="shared" si="5"/>
        <v>62624</v>
      </c>
      <c r="F32" s="37">
        <f t="shared" si="5"/>
        <v>67962.8</v>
      </c>
      <c r="G32" s="37">
        <f t="shared" si="5"/>
        <v>62462.8</v>
      </c>
      <c r="H32" s="37">
        <f t="shared" si="5"/>
        <v>59279.99999999999</v>
      </c>
      <c r="I32" s="37">
        <f t="shared" si="5"/>
        <v>53778.8</v>
      </c>
      <c r="J32" s="37">
        <f t="shared" si="5"/>
        <v>69101.61</v>
      </c>
      <c r="K32" s="37">
        <f t="shared" si="5"/>
        <v>63185</v>
      </c>
      <c r="L32" s="37">
        <f t="shared" si="5"/>
        <v>69231.20999999999</v>
      </c>
      <c r="M32" s="37">
        <f t="shared" si="5"/>
        <v>63545</v>
      </c>
      <c r="N32" s="37">
        <f t="shared" si="5"/>
        <v>69110.61</v>
      </c>
      <c r="O32" s="37">
        <f t="shared" si="5"/>
        <v>63021</v>
      </c>
      <c r="P32" s="37">
        <f t="shared" si="5"/>
        <v>70013.01</v>
      </c>
      <c r="Q32" s="37">
        <f t="shared" si="5"/>
        <v>63988.799999999996</v>
      </c>
      <c r="R32" s="37">
        <f t="shared" si="5"/>
        <v>68133.61</v>
      </c>
      <c r="S32" s="37">
        <f t="shared" si="5"/>
        <v>62528</v>
      </c>
      <c r="T32" s="37">
        <f t="shared" si="5"/>
        <v>66504.78</v>
      </c>
      <c r="U32" s="37">
        <f t="shared" si="5"/>
        <v>60632.600000000006</v>
      </c>
      <c r="V32" s="37">
        <f t="shared" si="5"/>
        <v>36122.64</v>
      </c>
      <c r="W32" s="37">
        <f t="shared" si="5"/>
        <v>32533</v>
      </c>
      <c r="X32" s="37">
        <f t="shared" si="5"/>
        <v>90593.28</v>
      </c>
      <c r="Y32" s="37">
        <f t="shared" si="5"/>
        <v>82623</v>
      </c>
      <c r="Z32" s="37">
        <f t="shared" si="5"/>
        <v>36346.579999999994</v>
      </c>
      <c r="AA32" s="37">
        <f t="shared" si="5"/>
        <v>30467</v>
      </c>
      <c r="AB32" s="37">
        <f t="shared" si="5"/>
        <v>38177.2</v>
      </c>
      <c r="AC32" s="37">
        <f t="shared" si="5"/>
        <v>32676</v>
      </c>
      <c r="AD32" s="37">
        <f t="shared" si="5"/>
        <v>37402.380000000005</v>
      </c>
      <c r="AE32" s="37">
        <f t="shared" si="5"/>
        <v>31530</v>
      </c>
      <c r="AF32" s="37">
        <f t="shared" si="5"/>
        <v>38083.380000000005</v>
      </c>
      <c r="AG32" s="37">
        <f t="shared" si="5"/>
        <v>32069</v>
      </c>
      <c r="AH32" s="37">
        <f>AH17+AH23+AH27+AH31</f>
        <v>25345.2</v>
      </c>
      <c r="AI32" s="37">
        <f>AI17+AI23+AI27+AI31</f>
        <v>21719</v>
      </c>
      <c r="AJ32" s="37">
        <f>AJ31+AJ27+AJ23+AJ17</f>
        <v>16023.47</v>
      </c>
      <c r="AK32" s="37">
        <f>AK31+AK27+AK23+AK17</f>
        <v>6600</v>
      </c>
      <c r="AL32" s="40">
        <f>B32+D32+F32+H32+J32+L32+N32+P32+T32+X32+R32+V32+Z32+AB32+AD32+AF32+AH32+AJ32</f>
        <v>981999.9999999999</v>
      </c>
      <c r="AM32" s="40">
        <f>C32+E32+G32+I32+K32+M32+O32+Q32+U32+Y32+S32+W32+AA32+AC32+AE32+AG32+AI32+AK32</f>
        <v>877544.8</v>
      </c>
      <c r="AN32" s="38">
        <f>AL32-AM32</f>
        <v>104455.19999999984</v>
      </c>
      <c r="AO32" s="28"/>
    </row>
    <row r="33" spans="1:41" ht="12.7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3"/>
      <c r="AM33" s="83"/>
      <c r="AN33" s="84"/>
      <c r="AO33" s="85"/>
    </row>
    <row r="34" spans="1:39" ht="12.75">
      <c r="A34" s="3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4"/>
      <c r="AL34" s="31"/>
      <c r="AM34" s="7"/>
    </row>
    <row r="35" spans="1:3" ht="12.75">
      <c r="A35" s="8" t="s">
        <v>3</v>
      </c>
      <c r="B35" s="6"/>
      <c r="C35" s="1"/>
    </row>
    <row r="36" spans="1:5" ht="12.75">
      <c r="A36" s="12" t="s">
        <v>4</v>
      </c>
      <c r="B36" s="6">
        <f>B38-AL32</f>
        <v>0</v>
      </c>
      <c r="C36" s="1"/>
      <c r="D36" s="57"/>
      <c r="E36" s="1"/>
    </row>
    <row r="37" spans="2:38" ht="12.75">
      <c r="B37" s="15"/>
      <c r="AL37" s="1"/>
    </row>
    <row r="38" spans="1:37" ht="12.75">
      <c r="A38" s="14" t="s">
        <v>44</v>
      </c>
      <c r="B38" s="24">
        <f>B39+B40+B41+B42+B43+B44+B45+B46+B47+B49+B50+B48</f>
        <v>982000</v>
      </c>
      <c r="C38" s="11"/>
      <c r="F38" s="11"/>
      <c r="G38" s="1"/>
      <c r="H38" s="1"/>
      <c r="AJ38" s="1"/>
      <c r="AK38" s="1"/>
    </row>
    <row r="39" spans="1:37" ht="12.75">
      <c r="A39" s="25">
        <v>44927</v>
      </c>
      <c r="B39" s="24">
        <v>57000</v>
      </c>
      <c r="C39" s="11"/>
      <c r="F39" s="11"/>
      <c r="G39" s="1"/>
      <c r="AK39" s="1"/>
    </row>
    <row r="40" spans="1:7" ht="12.75">
      <c r="A40" s="25">
        <v>44958</v>
      </c>
      <c r="B40" s="24">
        <v>57000</v>
      </c>
      <c r="C40" s="11"/>
      <c r="F40" s="11"/>
      <c r="G40" s="1"/>
    </row>
    <row r="41" spans="1:2" ht="12.75">
      <c r="A41" s="61">
        <v>44986</v>
      </c>
      <c r="B41" s="62">
        <v>57000</v>
      </c>
    </row>
    <row r="42" spans="1:2" ht="12.75">
      <c r="A42" s="66">
        <v>45017</v>
      </c>
      <c r="B42" s="62">
        <v>57000</v>
      </c>
    </row>
    <row r="43" spans="1:2" ht="12.75">
      <c r="A43" s="66">
        <v>45047</v>
      </c>
      <c r="B43" s="62">
        <v>57000</v>
      </c>
    </row>
    <row r="44" spans="1:2" ht="12.75">
      <c r="A44" s="66">
        <v>45078</v>
      </c>
      <c r="B44" s="62">
        <v>57000</v>
      </c>
    </row>
    <row r="45" spans="1:2" ht="12.75">
      <c r="A45" s="74" t="s">
        <v>55</v>
      </c>
      <c r="B45" s="75">
        <v>120000</v>
      </c>
    </row>
    <row r="46" spans="1:2" ht="12.75">
      <c r="A46" s="8" t="s">
        <v>56</v>
      </c>
      <c r="B46" s="75">
        <v>120000</v>
      </c>
    </row>
    <row r="47" spans="1:2" ht="12.75">
      <c r="A47" s="8" t="s">
        <v>57</v>
      </c>
      <c r="B47" s="75">
        <v>120000</v>
      </c>
    </row>
    <row r="48" spans="1:2" ht="12.75">
      <c r="A48" s="8" t="s">
        <v>58</v>
      </c>
      <c r="B48" s="75">
        <v>100000</v>
      </c>
    </row>
    <row r="49" spans="1:2" ht="12.75">
      <c r="A49" s="8" t="s">
        <v>59</v>
      </c>
      <c r="B49" s="75">
        <v>80000</v>
      </c>
    </row>
    <row r="50" spans="1:2" ht="12.75">
      <c r="A50" s="8" t="s">
        <v>60</v>
      </c>
      <c r="B50" s="75">
        <v>100000</v>
      </c>
    </row>
    <row r="53" ht="12.75">
      <c r="A53" s="23" t="s">
        <v>69</v>
      </c>
    </row>
    <row r="55" ht="12.75">
      <c r="A55" s="64" t="s">
        <v>68</v>
      </c>
    </row>
    <row r="56" spans="2:37" ht="12.75">
      <c r="B56">
        <v>1</v>
      </c>
      <c r="D56">
        <v>2</v>
      </c>
      <c r="F56">
        <v>3</v>
      </c>
      <c r="H56">
        <v>4</v>
      </c>
      <c r="J56">
        <v>5</v>
      </c>
      <c r="L56">
        <v>6</v>
      </c>
      <c r="N56">
        <v>7</v>
      </c>
      <c r="P56">
        <v>8</v>
      </c>
      <c r="S56">
        <v>9</v>
      </c>
      <c r="T56">
        <v>10</v>
      </c>
      <c r="W56">
        <v>11</v>
      </c>
      <c r="X56">
        <v>12</v>
      </c>
      <c r="Y56">
        <v>13</v>
      </c>
      <c r="AA56">
        <v>14</v>
      </c>
      <c r="AC56">
        <v>15</v>
      </c>
      <c r="AE56">
        <v>16</v>
      </c>
      <c r="AG56">
        <v>17</v>
      </c>
      <c r="AI56" s="12">
        <v>18</v>
      </c>
      <c r="AJ56">
        <v>19</v>
      </c>
      <c r="AK56">
        <v>20</v>
      </c>
    </row>
    <row r="57" spans="1:40" ht="12.75">
      <c r="A57" s="97" t="s">
        <v>0</v>
      </c>
      <c r="B57" s="89" t="s">
        <v>25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/>
      <c r="U57" s="90"/>
      <c r="V57" s="90"/>
      <c r="W57" s="90"/>
      <c r="X57" s="90"/>
      <c r="Y57" s="90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103" t="s">
        <v>1</v>
      </c>
      <c r="AM57" s="104"/>
      <c r="AN57" s="4"/>
    </row>
    <row r="58" spans="1:41" ht="60" customHeight="1">
      <c r="A58" s="98"/>
      <c r="B58" s="96" t="s">
        <v>5</v>
      </c>
      <c r="C58" s="96"/>
      <c r="D58" s="101" t="s">
        <v>10</v>
      </c>
      <c r="E58" s="102"/>
      <c r="F58" s="96" t="s">
        <v>6</v>
      </c>
      <c r="G58" s="96"/>
      <c r="H58" s="96" t="s">
        <v>7</v>
      </c>
      <c r="I58" s="96"/>
      <c r="J58" s="101" t="s">
        <v>18</v>
      </c>
      <c r="K58" s="102"/>
      <c r="L58" s="101" t="s">
        <v>9</v>
      </c>
      <c r="M58" s="102"/>
      <c r="N58" s="96" t="s">
        <v>20</v>
      </c>
      <c r="O58" s="96"/>
      <c r="P58" s="96" t="s">
        <v>11</v>
      </c>
      <c r="Q58" s="96"/>
      <c r="R58" s="99" t="s">
        <v>27</v>
      </c>
      <c r="S58" s="100"/>
      <c r="T58" s="99" t="s">
        <v>13</v>
      </c>
      <c r="U58" s="100"/>
      <c r="V58" s="99" t="s">
        <v>47</v>
      </c>
      <c r="W58" s="100"/>
      <c r="X58" s="99" t="s">
        <v>16</v>
      </c>
      <c r="Y58" s="100"/>
      <c r="Z58" s="95" t="s">
        <v>50</v>
      </c>
      <c r="AA58" s="95"/>
      <c r="AB58" s="95" t="s">
        <v>51</v>
      </c>
      <c r="AC58" s="95"/>
      <c r="AD58" s="95" t="s">
        <v>52</v>
      </c>
      <c r="AE58" s="95"/>
      <c r="AF58" s="95" t="s">
        <v>53</v>
      </c>
      <c r="AG58" s="95"/>
      <c r="AH58" s="99" t="s">
        <v>54</v>
      </c>
      <c r="AI58" s="100"/>
      <c r="AJ58" s="99" t="s">
        <v>61</v>
      </c>
      <c r="AK58" s="100"/>
      <c r="AL58" s="99" t="s">
        <v>1</v>
      </c>
      <c r="AM58" s="100"/>
      <c r="AN58" s="47" t="s">
        <v>2</v>
      </c>
      <c r="AO58" s="48" t="s">
        <v>22</v>
      </c>
    </row>
    <row r="59" spans="1:41" ht="12.75">
      <c r="A59" s="3"/>
      <c r="B59" s="2" t="s">
        <v>12</v>
      </c>
      <c r="C59" s="2" t="s">
        <v>19</v>
      </c>
      <c r="D59" s="2" t="s">
        <v>12</v>
      </c>
      <c r="E59" s="2" t="s">
        <v>19</v>
      </c>
      <c r="F59" s="2" t="s">
        <v>12</v>
      </c>
      <c r="G59" s="2" t="s">
        <v>19</v>
      </c>
      <c r="H59" s="2" t="s">
        <v>12</v>
      </c>
      <c r="I59" s="2" t="s">
        <v>19</v>
      </c>
      <c r="J59" s="2" t="s">
        <v>12</v>
      </c>
      <c r="K59" s="2" t="s">
        <v>19</v>
      </c>
      <c r="L59" s="2" t="s">
        <v>12</v>
      </c>
      <c r="M59" s="2" t="s">
        <v>19</v>
      </c>
      <c r="N59" s="2" t="s">
        <v>12</v>
      </c>
      <c r="O59" s="2" t="s">
        <v>19</v>
      </c>
      <c r="P59" s="2" t="s">
        <v>12</v>
      </c>
      <c r="Q59" s="2" t="s">
        <v>19</v>
      </c>
      <c r="R59" s="2" t="s">
        <v>12</v>
      </c>
      <c r="S59" s="2" t="s">
        <v>19</v>
      </c>
      <c r="T59" s="2" t="s">
        <v>12</v>
      </c>
      <c r="U59" s="2" t="s">
        <v>19</v>
      </c>
      <c r="V59" s="2" t="s">
        <v>12</v>
      </c>
      <c r="W59" s="2" t="s">
        <v>19</v>
      </c>
      <c r="X59" s="2" t="s">
        <v>12</v>
      </c>
      <c r="Y59" s="2" t="s">
        <v>19</v>
      </c>
      <c r="Z59" s="2" t="s">
        <v>12</v>
      </c>
      <c r="AA59" s="2" t="s">
        <v>19</v>
      </c>
      <c r="AB59" s="2" t="s">
        <v>12</v>
      </c>
      <c r="AC59" s="2" t="s">
        <v>19</v>
      </c>
      <c r="AD59" s="2" t="s">
        <v>12</v>
      </c>
      <c r="AE59" s="2" t="s">
        <v>19</v>
      </c>
      <c r="AF59" s="2" t="s">
        <v>12</v>
      </c>
      <c r="AG59" s="2" t="s">
        <v>19</v>
      </c>
      <c r="AH59" s="2" t="s">
        <v>12</v>
      </c>
      <c r="AI59" s="2" t="s">
        <v>19</v>
      </c>
      <c r="AJ59" s="2" t="s">
        <v>12</v>
      </c>
      <c r="AK59" s="2" t="s">
        <v>19</v>
      </c>
      <c r="AL59" s="2" t="s">
        <v>12</v>
      </c>
      <c r="AM59" s="2" t="s">
        <v>19</v>
      </c>
      <c r="AN59" s="4"/>
      <c r="AO59" s="4"/>
    </row>
    <row r="60" spans="1:41" ht="12.75">
      <c r="A60" s="58" t="s">
        <v>30</v>
      </c>
      <c r="B60" s="19">
        <v>6000</v>
      </c>
      <c r="C60" s="16"/>
      <c r="D60" s="18">
        <v>7200</v>
      </c>
      <c r="E60" s="5"/>
      <c r="F60" s="20">
        <v>7200</v>
      </c>
      <c r="G60" s="16"/>
      <c r="H60" s="18">
        <v>7200</v>
      </c>
      <c r="I60" s="16"/>
      <c r="J60" s="18">
        <v>7200</v>
      </c>
      <c r="K60" s="16"/>
      <c r="L60" s="18">
        <v>7200</v>
      </c>
      <c r="M60" s="59"/>
      <c r="N60" s="18">
        <v>7200</v>
      </c>
      <c r="O60" s="59"/>
      <c r="P60" s="18">
        <v>7200</v>
      </c>
      <c r="Q60" s="18"/>
      <c r="R60" s="18">
        <v>7200</v>
      </c>
      <c r="S60" s="60"/>
      <c r="T60" s="18">
        <v>7200</v>
      </c>
      <c r="U60" s="18"/>
      <c r="V60" s="18">
        <v>4800</v>
      </c>
      <c r="W60" s="18"/>
      <c r="X60" s="20">
        <v>9600</v>
      </c>
      <c r="Y60" s="16"/>
      <c r="Z60" s="16">
        <v>7200</v>
      </c>
      <c r="AA60" s="16"/>
      <c r="AB60" s="16">
        <v>7200</v>
      </c>
      <c r="AC60" s="16"/>
      <c r="AD60" s="16">
        <v>7200</v>
      </c>
      <c r="AE60" s="16"/>
      <c r="AF60" s="16">
        <v>7200</v>
      </c>
      <c r="AG60" s="16"/>
      <c r="AH60" s="16">
        <v>4800</v>
      </c>
      <c r="AI60" s="16"/>
      <c r="AJ60" s="16">
        <v>16200</v>
      </c>
      <c r="AK60" s="16"/>
      <c r="AL60" s="29">
        <f>B60+D60+H60+J60+L60+N60+P60+T60+X60+R60+F60+Z60+AB60+AD60+AF60+AH60+AJ60+V60</f>
        <v>135000</v>
      </c>
      <c r="AM60" s="29">
        <f>Y60+U60+S60+Q60+O60+M60+K60+I60+G60+E60+C60+W60+AA60+AC60+AE60+AG60+AI60+AK60</f>
        <v>0</v>
      </c>
      <c r="AN60" s="26">
        <f>AL60-AM60</f>
        <v>135000</v>
      </c>
      <c r="AO60" s="28"/>
    </row>
    <row r="61" spans="1:41" ht="12.75">
      <c r="A61" s="44" t="s">
        <v>31</v>
      </c>
      <c r="B61" s="19"/>
      <c r="C61" s="16"/>
      <c r="D61" s="18"/>
      <c r="E61" s="5"/>
      <c r="F61" s="20"/>
      <c r="G61" s="16"/>
      <c r="H61" s="18"/>
      <c r="I61" s="16"/>
      <c r="J61" s="18"/>
      <c r="K61" s="16"/>
      <c r="L61" s="18"/>
      <c r="M61" s="65"/>
      <c r="N61" s="18"/>
      <c r="O61" s="63"/>
      <c r="P61" s="18"/>
      <c r="Q61" s="18"/>
      <c r="R61" s="18"/>
      <c r="S61" s="60"/>
      <c r="T61" s="18"/>
      <c r="U61" s="18"/>
      <c r="V61" s="18"/>
      <c r="W61" s="18"/>
      <c r="X61" s="20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29">
        <f>B61+D61+H61+J61+L61+N61+P61+T61+X61+R61+F61+Z61+AB61+AD61+AF61+AH61+AJ61+V61</f>
        <v>0</v>
      </c>
      <c r="AM61" s="29">
        <f>Y61+U61+S61+Q61+O61+M61+K61+I61+G61+E61+C61</f>
        <v>0</v>
      </c>
      <c r="AN61" s="26">
        <f>AL61-AM61</f>
        <v>0</v>
      </c>
      <c r="AO61" s="28"/>
    </row>
    <row r="62" spans="1:41" ht="12.75">
      <c r="A62" s="44" t="s">
        <v>32</v>
      </c>
      <c r="B62" s="19"/>
      <c r="C62" s="9"/>
      <c r="D62" s="20"/>
      <c r="E62" s="9"/>
      <c r="F62" s="20"/>
      <c r="G62" s="9"/>
      <c r="H62" s="20"/>
      <c r="I62" s="9"/>
      <c r="J62" s="20"/>
      <c r="K62" s="9"/>
      <c r="L62" s="20"/>
      <c r="M62" s="9"/>
      <c r="N62" s="20"/>
      <c r="O62" s="9"/>
      <c r="P62" s="20"/>
      <c r="Q62" s="9"/>
      <c r="R62" s="20"/>
      <c r="S62" s="9"/>
      <c r="T62" s="20"/>
      <c r="U62" s="9"/>
      <c r="V62" s="9"/>
      <c r="W62" s="9"/>
      <c r="X62" s="16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29">
        <f>B62+D62+H62+J62+L62+N62+P62+T62+X62+R62+F62+Z62+AB62+AD62+AF62+AH62+AJ62+V62</f>
        <v>0</v>
      </c>
      <c r="AM62" s="29">
        <f>Y62+U62+S62+Q62+O62+M62+K62+I62+G62+E62+C62+W62</f>
        <v>0</v>
      </c>
      <c r="AN62" s="26">
        <f>AL62-AM62</f>
        <v>0</v>
      </c>
      <c r="AO62" s="67"/>
    </row>
    <row r="63" spans="1:41" ht="12.75">
      <c r="A63" s="46" t="s">
        <v>63</v>
      </c>
      <c r="B63" s="37">
        <f aca="true" t="shared" si="6" ref="B63:AK63">B60+B61+B62</f>
        <v>6000</v>
      </c>
      <c r="C63" s="37">
        <f t="shared" si="6"/>
        <v>0</v>
      </c>
      <c r="D63" s="37">
        <f t="shared" si="6"/>
        <v>7200</v>
      </c>
      <c r="E63" s="37">
        <f t="shared" si="6"/>
        <v>0</v>
      </c>
      <c r="F63" s="37">
        <f t="shared" si="6"/>
        <v>7200</v>
      </c>
      <c r="G63" s="37">
        <f t="shared" si="6"/>
        <v>0</v>
      </c>
      <c r="H63" s="37">
        <f t="shared" si="6"/>
        <v>7200</v>
      </c>
      <c r="I63" s="37">
        <f t="shared" si="6"/>
        <v>0</v>
      </c>
      <c r="J63" s="37">
        <f t="shared" si="6"/>
        <v>7200</v>
      </c>
      <c r="K63" s="37">
        <f t="shared" si="6"/>
        <v>0</v>
      </c>
      <c r="L63" s="37">
        <f t="shared" si="6"/>
        <v>7200</v>
      </c>
      <c r="M63" s="37">
        <f t="shared" si="6"/>
        <v>0</v>
      </c>
      <c r="N63" s="37">
        <f t="shared" si="6"/>
        <v>7200</v>
      </c>
      <c r="O63" s="37">
        <f t="shared" si="6"/>
        <v>0</v>
      </c>
      <c r="P63" s="37">
        <f t="shared" si="6"/>
        <v>7200</v>
      </c>
      <c r="Q63" s="37">
        <f t="shared" si="6"/>
        <v>0</v>
      </c>
      <c r="R63" s="37">
        <f t="shared" si="6"/>
        <v>7200</v>
      </c>
      <c r="S63" s="37">
        <f t="shared" si="6"/>
        <v>0</v>
      </c>
      <c r="T63" s="37">
        <f t="shared" si="6"/>
        <v>7200</v>
      </c>
      <c r="U63" s="37">
        <f t="shared" si="6"/>
        <v>0</v>
      </c>
      <c r="V63" s="37">
        <f t="shared" si="6"/>
        <v>4800</v>
      </c>
      <c r="W63" s="37">
        <f t="shared" si="6"/>
        <v>0</v>
      </c>
      <c r="X63" s="37">
        <f t="shared" si="6"/>
        <v>9600</v>
      </c>
      <c r="Y63" s="37">
        <f t="shared" si="6"/>
        <v>0</v>
      </c>
      <c r="Z63" s="37">
        <f t="shared" si="6"/>
        <v>7200</v>
      </c>
      <c r="AA63" s="37">
        <f t="shared" si="6"/>
        <v>0</v>
      </c>
      <c r="AB63" s="37">
        <f t="shared" si="6"/>
        <v>7200</v>
      </c>
      <c r="AC63" s="37">
        <f t="shared" si="6"/>
        <v>0</v>
      </c>
      <c r="AD63" s="37">
        <f t="shared" si="6"/>
        <v>7200</v>
      </c>
      <c r="AE63" s="37">
        <f t="shared" si="6"/>
        <v>0</v>
      </c>
      <c r="AF63" s="37">
        <f t="shared" si="6"/>
        <v>7200</v>
      </c>
      <c r="AG63" s="37">
        <f t="shared" si="6"/>
        <v>0</v>
      </c>
      <c r="AH63" s="37">
        <f t="shared" si="6"/>
        <v>4800</v>
      </c>
      <c r="AI63" s="37">
        <f t="shared" si="6"/>
        <v>0</v>
      </c>
      <c r="AJ63" s="37">
        <f>AJ60+AJ61+AJ62</f>
        <v>16200</v>
      </c>
      <c r="AK63" s="37">
        <f t="shared" si="6"/>
        <v>0</v>
      </c>
      <c r="AL63" s="37">
        <f>AL60+AL61+AL62</f>
        <v>135000</v>
      </c>
      <c r="AM63" s="37">
        <f>AM60+AM61+AM62</f>
        <v>0</v>
      </c>
      <c r="AN63" s="37">
        <f>AN60+AN61+AN62</f>
        <v>135000</v>
      </c>
      <c r="AO63" s="5"/>
    </row>
    <row r="64" spans="1:41" ht="12.75">
      <c r="A64" s="44" t="s">
        <v>23</v>
      </c>
      <c r="B64" s="20"/>
      <c r="C64" s="20"/>
      <c r="D64" s="18"/>
      <c r="E64" s="20"/>
      <c r="F64" s="18"/>
      <c r="G64" s="20"/>
      <c r="H64" s="18"/>
      <c r="I64" s="20"/>
      <c r="J64" s="18"/>
      <c r="K64" s="20"/>
      <c r="L64" s="18"/>
      <c r="M64" s="32"/>
      <c r="N64" s="18"/>
      <c r="O64" s="32"/>
      <c r="P64" s="18"/>
      <c r="Q64" s="20"/>
      <c r="R64" s="18"/>
      <c r="S64" s="41"/>
      <c r="T64" s="18"/>
      <c r="U64" s="20"/>
      <c r="V64" s="20"/>
      <c r="W64" s="41"/>
      <c r="X64" s="16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9">
        <f>B64+D64+F64+H64+J64+L64+N64+P64+T64+X64+R64+V64</f>
        <v>0</v>
      </c>
      <c r="AM64" s="29">
        <f>C64+E64+G64+I64+K64+M64+O64+Q64+U64+Y64+S64+W64</f>
        <v>0</v>
      </c>
      <c r="AN64" s="26">
        <f>AL64-AM64</f>
        <v>0</v>
      </c>
      <c r="AO64" s="28"/>
    </row>
    <row r="65" spans="1:41" ht="12.75">
      <c r="A65" s="44" t="s">
        <v>24</v>
      </c>
      <c r="B65" s="20"/>
      <c r="C65" s="20"/>
      <c r="D65" s="18"/>
      <c r="E65" s="20"/>
      <c r="F65" s="18"/>
      <c r="G65" s="20"/>
      <c r="H65" s="18"/>
      <c r="I65" s="20"/>
      <c r="J65" s="18"/>
      <c r="K65" s="20"/>
      <c r="L65" s="18"/>
      <c r="M65" s="32"/>
      <c r="N65" s="18"/>
      <c r="O65" s="41"/>
      <c r="P65" s="18"/>
      <c r="Q65" s="20"/>
      <c r="R65" s="18"/>
      <c r="S65" s="41"/>
      <c r="T65" s="18"/>
      <c r="U65" s="20"/>
      <c r="V65" s="20"/>
      <c r="W65" s="41"/>
      <c r="X65" s="16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9">
        <f>B65+D65+F65+H65+J65+L65+N65+P65+T65+X65+R65+V65</f>
        <v>0</v>
      </c>
      <c r="AM65" s="29">
        <f>C65+E65+G65+I65+K65+M65+O65+Q65+U65+Y65+S65+W65</f>
        <v>0</v>
      </c>
      <c r="AN65" s="26">
        <f aca="true" t="shared" si="7" ref="AN65:AN74">AL65-AM65</f>
        <v>0</v>
      </c>
      <c r="AO65" s="4"/>
    </row>
    <row r="66" spans="1:41" ht="12.75">
      <c r="A66" s="44" t="s">
        <v>33</v>
      </c>
      <c r="B66" s="20"/>
      <c r="C66" s="20"/>
      <c r="D66" s="18"/>
      <c r="E66" s="20"/>
      <c r="F66" s="18"/>
      <c r="G66" s="20"/>
      <c r="H66" s="18"/>
      <c r="I66" s="20"/>
      <c r="J66" s="18"/>
      <c r="K66" s="20"/>
      <c r="L66" s="18"/>
      <c r="M66" s="20"/>
      <c r="N66" s="18"/>
      <c r="O66" s="20"/>
      <c r="P66" s="18"/>
      <c r="Q66" s="20"/>
      <c r="R66" s="18"/>
      <c r="S66" s="20"/>
      <c r="T66" s="18"/>
      <c r="U66" s="20"/>
      <c r="V66" s="20"/>
      <c r="W66" s="20"/>
      <c r="X66" s="16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9">
        <f>B66+D66+F66+H66+J66+L66+N66+P66+T66+X66+R66+V66</f>
        <v>0</v>
      </c>
      <c r="AM66" s="29">
        <f>C66+E66+G66+I66+K66+M66+O66+Q66+U66+Y66+S66+W66</f>
        <v>0</v>
      </c>
      <c r="AN66" s="26">
        <f t="shared" si="7"/>
        <v>0</v>
      </c>
      <c r="AO66" s="28"/>
    </row>
    <row r="67" spans="1:41" ht="12.75">
      <c r="A67" s="46" t="s">
        <v>64</v>
      </c>
      <c r="B67" s="37">
        <f>SUM(B64:B66)</f>
        <v>0</v>
      </c>
      <c r="C67" s="37">
        <f>C64+C65+C66</f>
        <v>0</v>
      </c>
      <c r="D67" s="37">
        <f>SUM(D64:D66)</f>
        <v>0</v>
      </c>
      <c r="E67" s="37">
        <f>E64+E65+E66</f>
        <v>0</v>
      </c>
      <c r="F67" s="37">
        <f>SUM(F64:F66)</f>
        <v>0</v>
      </c>
      <c r="G67" s="37">
        <f>G64+G65+G66</f>
        <v>0</v>
      </c>
      <c r="H67" s="37">
        <f>SUM(H64:H66)</f>
        <v>0</v>
      </c>
      <c r="I67" s="37">
        <f>I64+I65+I66</f>
        <v>0</v>
      </c>
      <c r="J67" s="37">
        <f>SUM(J64:J66)</f>
        <v>0</v>
      </c>
      <c r="K67" s="37">
        <f>K64+K65+K66</f>
        <v>0</v>
      </c>
      <c r="L67" s="37">
        <f>SUM(L64:L66)</f>
        <v>0</v>
      </c>
      <c r="M67" s="37">
        <f>M64+M65+M66</f>
        <v>0</v>
      </c>
      <c r="N67" s="37">
        <f>SUM(N64:N66)</f>
        <v>0</v>
      </c>
      <c r="O67" s="37">
        <f>O64+O65+O66</f>
        <v>0</v>
      </c>
      <c r="P67" s="37">
        <f>SUM(P64:P66)</f>
        <v>0</v>
      </c>
      <c r="Q67" s="37">
        <f>Q64+Q65+Q66</f>
        <v>0</v>
      </c>
      <c r="R67" s="37">
        <f>SUM(R64:R66)</f>
        <v>0</v>
      </c>
      <c r="S67" s="37">
        <f>S64+S65+S66</f>
        <v>0</v>
      </c>
      <c r="T67" s="37">
        <f>SUM(T64:T66)</f>
        <v>0</v>
      </c>
      <c r="U67" s="37">
        <f>U64+U65+U66</f>
        <v>0</v>
      </c>
      <c r="V67" s="37">
        <f>SUM(V64:V66)</f>
        <v>0</v>
      </c>
      <c r="W67" s="37">
        <f>W64+W65+W66</f>
        <v>0</v>
      </c>
      <c r="X67" s="37">
        <f>SUM(X64:X66)</f>
        <v>0</v>
      </c>
      <c r="Y67" s="37">
        <f>Y64+Y65+Y66</f>
        <v>0</v>
      </c>
      <c r="Z67" s="37">
        <f aca="true" t="shared" si="8" ref="Z67:AK67">SUM(Z64:Z66)</f>
        <v>0</v>
      </c>
      <c r="AA67" s="37">
        <f t="shared" si="8"/>
        <v>0</v>
      </c>
      <c r="AB67" s="37">
        <f t="shared" si="8"/>
        <v>0</v>
      </c>
      <c r="AC67" s="37">
        <f t="shared" si="8"/>
        <v>0</v>
      </c>
      <c r="AD67" s="37">
        <f t="shared" si="8"/>
        <v>0</v>
      </c>
      <c r="AE67" s="37">
        <f t="shared" si="8"/>
        <v>0</v>
      </c>
      <c r="AF67" s="37">
        <f t="shared" si="8"/>
        <v>0</v>
      </c>
      <c r="AG67" s="37">
        <f t="shared" si="8"/>
        <v>0</v>
      </c>
      <c r="AH67" s="37">
        <f t="shared" si="8"/>
        <v>0</v>
      </c>
      <c r="AI67" s="37">
        <f t="shared" si="8"/>
        <v>0</v>
      </c>
      <c r="AJ67" s="37">
        <f t="shared" si="8"/>
        <v>0</v>
      </c>
      <c r="AK67" s="37">
        <f t="shared" si="8"/>
        <v>0</v>
      </c>
      <c r="AL67" s="37">
        <f>SUM(AL64:AL66)</f>
        <v>0</v>
      </c>
      <c r="AM67" s="37">
        <f>AM64+AM65+AM66</f>
        <v>0</v>
      </c>
      <c r="AN67" s="38">
        <f t="shared" si="7"/>
        <v>0</v>
      </c>
      <c r="AO67" s="28"/>
    </row>
    <row r="68" spans="1:41" ht="12.75">
      <c r="A68" s="44" t="s">
        <v>34</v>
      </c>
      <c r="B68" s="20"/>
      <c r="C68" s="78"/>
      <c r="D68" s="18"/>
      <c r="E68" s="22"/>
      <c r="F68" s="18"/>
      <c r="G68" s="22"/>
      <c r="H68" s="18"/>
      <c r="I68" s="22"/>
      <c r="J68" s="18"/>
      <c r="K68" s="22"/>
      <c r="L68" s="18"/>
      <c r="M68" s="78"/>
      <c r="N68" s="18"/>
      <c r="O68" s="22"/>
      <c r="P68" s="18"/>
      <c r="Q68" s="22"/>
      <c r="R68" s="18"/>
      <c r="S68" s="78"/>
      <c r="T68" s="18"/>
      <c r="U68" s="16"/>
      <c r="V68" s="18"/>
      <c r="W68" s="79"/>
      <c r="X68" s="16"/>
      <c r="Y68" s="16"/>
      <c r="Z68" s="18"/>
      <c r="AA68" s="16"/>
      <c r="AB68" s="18"/>
      <c r="AC68" s="16"/>
      <c r="AD68" s="18"/>
      <c r="AE68" s="16"/>
      <c r="AF68" s="18"/>
      <c r="AG68" s="79"/>
      <c r="AH68" s="18"/>
      <c r="AI68" s="79"/>
      <c r="AJ68" s="79"/>
      <c r="AK68" s="79"/>
      <c r="AL68" s="29">
        <f>B68+D68+F68+H68+J68+L68+N68+P68+R68+T68+V68+X68+Z68+AB68+AD68+AF68+AH68+AJ68</f>
        <v>0</v>
      </c>
      <c r="AM68" s="29">
        <f>C68+E68+G68+I68+K68+M68+O68+Q68+S68+U68+W68+Y68+AA68+AC68+AE68+AG68+AI68+AK68</f>
        <v>0</v>
      </c>
      <c r="AN68" s="26">
        <f t="shared" si="7"/>
        <v>0</v>
      </c>
      <c r="AO68" s="28"/>
    </row>
    <row r="69" spans="1:41" ht="12.75">
      <c r="A69" s="44" t="s">
        <v>26</v>
      </c>
      <c r="B69" s="20"/>
      <c r="C69" s="41"/>
      <c r="D69" s="18"/>
      <c r="E69" s="55"/>
      <c r="F69" s="18"/>
      <c r="G69" s="20"/>
      <c r="H69" s="18"/>
      <c r="I69" s="16"/>
      <c r="J69" s="18"/>
      <c r="K69" s="16"/>
      <c r="L69" s="18"/>
      <c r="M69" s="32"/>
      <c r="N69" s="18"/>
      <c r="O69" s="20"/>
      <c r="P69" s="18"/>
      <c r="Q69" s="16"/>
      <c r="R69" s="18"/>
      <c r="S69" s="16"/>
      <c r="T69" s="18"/>
      <c r="U69" s="20"/>
      <c r="V69" s="18"/>
      <c r="W69" s="20"/>
      <c r="X69" s="16"/>
      <c r="Y69" s="16"/>
      <c r="Z69" s="18"/>
      <c r="AA69" s="16"/>
      <c r="AB69" s="18"/>
      <c r="AC69" s="16"/>
      <c r="AD69" s="18"/>
      <c r="AE69" s="16"/>
      <c r="AF69" s="18"/>
      <c r="AG69" s="79"/>
      <c r="AH69" s="18"/>
      <c r="AI69" s="79"/>
      <c r="AJ69" s="79"/>
      <c r="AK69" s="79"/>
      <c r="AL69" s="29">
        <f>B69+D69+F69+H69+J69+L69+N69+P69+R69+T69+V69+X69+Z69+AB69+AD69+AF69+AH69+AJ69</f>
        <v>0</v>
      </c>
      <c r="AM69" s="29">
        <f>C69+E69+G69+I69+K69+M69+O69+Q69+S69+U69+W69+Y69+AA69+AC69+AE69+AG69+AI69+AK69</f>
        <v>0</v>
      </c>
      <c r="AN69" s="26">
        <f t="shared" si="7"/>
        <v>0</v>
      </c>
      <c r="AO69" s="28"/>
    </row>
    <row r="70" spans="1:41" ht="12.75">
      <c r="A70" s="44" t="s">
        <v>35</v>
      </c>
      <c r="B70" s="20"/>
      <c r="C70" s="19"/>
      <c r="D70" s="18"/>
      <c r="E70" s="20"/>
      <c r="F70" s="18"/>
      <c r="G70" s="19"/>
      <c r="H70" s="18"/>
      <c r="I70" s="9"/>
      <c r="J70" s="18"/>
      <c r="K70" s="9"/>
      <c r="L70" s="18"/>
      <c r="M70" s="9"/>
      <c r="N70" s="18"/>
      <c r="O70" s="9"/>
      <c r="P70" s="18"/>
      <c r="Q70" s="16"/>
      <c r="R70" s="18"/>
      <c r="S70" s="16"/>
      <c r="T70" s="18"/>
      <c r="U70" s="16"/>
      <c r="V70" s="18"/>
      <c r="W70" s="9"/>
      <c r="X70" s="16"/>
      <c r="Y70" s="9"/>
      <c r="Z70" s="18"/>
      <c r="AA70" s="16"/>
      <c r="AB70" s="18"/>
      <c r="AC70" s="16"/>
      <c r="AD70" s="18"/>
      <c r="AE70" s="9"/>
      <c r="AF70" s="18"/>
      <c r="AG70" s="16"/>
      <c r="AH70" s="18"/>
      <c r="AI70" s="16"/>
      <c r="AJ70" s="16"/>
      <c r="AK70" s="16"/>
      <c r="AL70" s="29">
        <f>B70+D70+F70+H70+J70+L70+N70+P70+R70+T70+V70+X70+Z70+AB70+AD70+AF70+AH70+AJ70</f>
        <v>0</v>
      </c>
      <c r="AM70" s="29">
        <f>C70+E70+G70+I70+K70+M70+O70+Q70+S70+U70+W70+Y70+AA70+AC70+AE70+AG70+AI70+AK70</f>
        <v>0</v>
      </c>
      <c r="AN70" s="26">
        <f t="shared" si="7"/>
        <v>0</v>
      </c>
      <c r="AO70" s="28"/>
    </row>
    <row r="71" spans="1:41" ht="12.75">
      <c r="A71" s="46" t="s">
        <v>65</v>
      </c>
      <c r="B71" s="37">
        <f aca="true" t="shared" si="9" ref="B71:AG71">B68+B69+B70</f>
        <v>0</v>
      </c>
      <c r="C71" s="37">
        <f t="shared" si="9"/>
        <v>0</v>
      </c>
      <c r="D71" s="37">
        <f t="shared" si="9"/>
        <v>0</v>
      </c>
      <c r="E71" s="37">
        <f t="shared" si="9"/>
        <v>0</v>
      </c>
      <c r="F71" s="37">
        <f t="shared" si="9"/>
        <v>0</v>
      </c>
      <c r="G71" s="37">
        <f t="shared" si="9"/>
        <v>0</v>
      </c>
      <c r="H71" s="37">
        <f t="shared" si="9"/>
        <v>0</v>
      </c>
      <c r="I71" s="37">
        <f t="shared" si="9"/>
        <v>0</v>
      </c>
      <c r="J71" s="37">
        <f t="shared" si="9"/>
        <v>0</v>
      </c>
      <c r="K71" s="37">
        <f t="shared" si="9"/>
        <v>0</v>
      </c>
      <c r="L71" s="37">
        <f t="shared" si="9"/>
        <v>0</v>
      </c>
      <c r="M71" s="37">
        <f t="shared" si="9"/>
        <v>0</v>
      </c>
      <c r="N71" s="37">
        <f t="shared" si="9"/>
        <v>0</v>
      </c>
      <c r="O71" s="37">
        <f t="shared" si="9"/>
        <v>0</v>
      </c>
      <c r="P71" s="37">
        <f t="shared" si="9"/>
        <v>0</v>
      </c>
      <c r="Q71" s="37">
        <f t="shared" si="9"/>
        <v>0</v>
      </c>
      <c r="R71" s="37">
        <f t="shared" si="9"/>
        <v>0</v>
      </c>
      <c r="S71" s="37">
        <f t="shared" si="9"/>
        <v>0</v>
      </c>
      <c r="T71" s="37">
        <f t="shared" si="9"/>
        <v>0</v>
      </c>
      <c r="U71" s="37">
        <f t="shared" si="9"/>
        <v>0</v>
      </c>
      <c r="V71" s="37">
        <f t="shared" si="9"/>
        <v>0</v>
      </c>
      <c r="W71" s="37">
        <f t="shared" si="9"/>
        <v>0</v>
      </c>
      <c r="X71" s="37">
        <f t="shared" si="9"/>
        <v>0</v>
      </c>
      <c r="Y71" s="37">
        <f t="shared" si="9"/>
        <v>0</v>
      </c>
      <c r="Z71" s="37">
        <f t="shared" si="9"/>
        <v>0</v>
      </c>
      <c r="AA71" s="37">
        <f t="shared" si="9"/>
        <v>0</v>
      </c>
      <c r="AB71" s="37">
        <f t="shared" si="9"/>
        <v>0</v>
      </c>
      <c r="AC71" s="37">
        <f t="shared" si="9"/>
        <v>0</v>
      </c>
      <c r="AD71" s="37">
        <f t="shared" si="9"/>
        <v>0</v>
      </c>
      <c r="AE71" s="37">
        <f t="shared" si="9"/>
        <v>0</v>
      </c>
      <c r="AF71" s="37">
        <f t="shared" si="9"/>
        <v>0</v>
      </c>
      <c r="AG71" s="37">
        <f t="shared" si="9"/>
        <v>0</v>
      </c>
      <c r="AH71" s="37">
        <f>AH68+AH69+AH70</f>
        <v>0</v>
      </c>
      <c r="AI71" s="37">
        <f>AI68+AI69+AI70</f>
        <v>0</v>
      </c>
      <c r="AJ71" s="37">
        <f>AJ68+AJ69+AJ70</f>
        <v>0</v>
      </c>
      <c r="AK71" s="37">
        <f>AK68+AK69+AK70</f>
        <v>0</v>
      </c>
      <c r="AL71" s="37">
        <f>AL68+AL69+AL70</f>
        <v>0</v>
      </c>
      <c r="AM71" s="37">
        <f>AM68+AM69+AM70</f>
        <v>0</v>
      </c>
      <c r="AN71" s="38">
        <f t="shared" si="7"/>
        <v>0</v>
      </c>
      <c r="AO71" s="36"/>
    </row>
    <row r="72" spans="1:41" ht="12.75">
      <c r="A72" s="44" t="s">
        <v>36</v>
      </c>
      <c r="B72" s="20"/>
      <c r="C72" s="55"/>
      <c r="D72" s="55"/>
      <c r="E72" s="20"/>
      <c r="F72" s="55"/>
      <c r="G72" s="55"/>
      <c r="H72" s="55"/>
      <c r="I72" s="55"/>
      <c r="J72" s="55"/>
      <c r="K72" s="55"/>
      <c r="L72" s="55"/>
      <c r="M72" s="41"/>
      <c r="N72" s="55"/>
      <c r="O72" s="55"/>
      <c r="P72" s="55"/>
      <c r="Q72" s="55"/>
      <c r="R72" s="55"/>
      <c r="S72" s="41"/>
      <c r="T72" s="55"/>
      <c r="U72" s="20"/>
      <c r="V72" s="55"/>
      <c r="W72" s="20"/>
      <c r="X72" s="16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29">
        <f>B72+D72+F72+H72+J72+L72+N72+P72+R72+T72+V72+X72+Z72+AB72+AD72+AF72+AH72+AJ72</f>
        <v>0</v>
      </c>
      <c r="AM72" s="29">
        <f>C72+E72+G72+I72+K72+M72+O72+Q72+S72+U72+W72+Y72+AA72+AC72+AE72+AG72+AI72+AK72</f>
        <v>0</v>
      </c>
      <c r="AN72" s="105">
        <f t="shared" si="7"/>
        <v>0</v>
      </c>
      <c r="AO72" s="28"/>
    </row>
    <row r="73" spans="1:41" ht="12.75">
      <c r="A73" s="44" t="s">
        <v>28</v>
      </c>
      <c r="B73" s="20"/>
      <c r="C73" s="55"/>
      <c r="D73" s="55"/>
      <c r="E73" s="56"/>
      <c r="F73" s="55"/>
      <c r="G73" s="80"/>
      <c r="H73" s="55"/>
      <c r="I73" s="55"/>
      <c r="J73" s="55"/>
      <c r="K73" s="55"/>
      <c r="L73" s="55"/>
      <c r="M73" s="32"/>
      <c r="N73" s="55"/>
      <c r="O73" s="55"/>
      <c r="P73" s="55"/>
      <c r="Q73" s="55"/>
      <c r="R73" s="55"/>
      <c r="S73" s="41"/>
      <c r="T73" s="55"/>
      <c r="U73" s="55"/>
      <c r="V73" s="55"/>
      <c r="W73" s="41"/>
      <c r="X73" s="16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41"/>
      <c r="AJ73" s="55"/>
      <c r="AK73" s="41"/>
      <c r="AL73" s="29">
        <f>B73+D73+F73+H73+J73+L73+N73+P73+R73+T73+V73+X73+Z73+AB73+AD73+AF73+AH73+AJ73</f>
        <v>0</v>
      </c>
      <c r="AM73" s="29">
        <f>C73+E73+G73+I73+K73+M73+O73+Q73+S73+U73+W73+Y73+AA73+AC73+AE73+AG73+AI73+AK73</f>
        <v>0</v>
      </c>
      <c r="AN73" s="105">
        <f t="shared" si="7"/>
        <v>0</v>
      </c>
      <c r="AO73" s="28"/>
    </row>
    <row r="74" spans="1:41" ht="12.75">
      <c r="A74" s="44" t="s">
        <v>37</v>
      </c>
      <c r="B74" s="16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16"/>
      <c r="V74" s="55"/>
      <c r="W74" s="16"/>
      <c r="X74" s="16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29">
        <f>B74+D74+F74+H74+J74+L74+N74+P74+R74+T74+V74+X74+Z74+AB74+AD74+AF74+AH74+AJ74</f>
        <v>0</v>
      </c>
      <c r="AM74" s="29">
        <f>C74+E74+G74+I74+K74+M74+O74+Q74+S74+U74+W74+Y74+AA74+AC74+AE74+AG74+AI74+AK74</f>
        <v>0</v>
      </c>
      <c r="AN74" s="105">
        <f t="shared" si="7"/>
        <v>0</v>
      </c>
      <c r="AO74" s="28"/>
    </row>
    <row r="75" spans="1:41" ht="38.25">
      <c r="A75" s="49" t="s">
        <v>66</v>
      </c>
      <c r="B75" s="37">
        <f aca="true" t="shared" si="10" ref="B75:AI75">B72+B73+B74</f>
        <v>0</v>
      </c>
      <c r="C75" s="37">
        <f t="shared" si="10"/>
        <v>0</v>
      </c>
      <c r="D75" s="37">
        <f t="shared" si="10"/>
        <v>0</v>
      </c>
      <c r="E75" s="37">
        <f t="shared" si="10"/>
        <v>0</v>
      </c>
      <c r="F75" s="37">
        <f t="shared" si="10"/>
        <v>0</v>
      </c>
      <c r="G75" s="37">
        <f t="shared" si="10"/>
        <v>0</v>
      </c>
      <c r="H75" s="37">
        <f t="shared" si="10"/>
        <v>0</v>
      </c>
      <c r="I75" s="37">
        <f t="shared" si="10"/>
        <v>0</v>
      </c>
      <c r="J75" s="37">
        <f t="shared" si="10"/>
        <v>0</v>
      </c>
      <c r="K75" s="37">
        <f t="shared" si="10"/>
        <v>0</v>
      </c>
      <c r="L75" s="37">
        <f t="shared" si="10"/>
        <v>0</v>
      </c>
      <c r="M75" s="37">
        <f t="shared" si="10"/>
        <v>0</v>
      </c>
      <c r="N75" s="37">
        <f t="shared" si="10"/>
        <v>0</v>
      </c>
      <c r="O75" s="37">
        <f t="shared" si="10"/>
        <v>0</v>
      </c>
      <c r="P75" s="37">
        <f t="shared" si="10"/>
        <v>0</v>
      </c>
      <c r="Q75" s="37">
        <f t="shared" si="10"/>
        <v>0</v>
      </c>
      <c r="R75" s="37">
        <f t="shared" si="10"/>
        <v>0</v>
      </c>
      <c r="S75" s="37">
        <f t="shared" si="10"/>
        <v>0</v>
      </c>
      <c r="T75" s="37">
        <f t="shared" si="10"/>
        <v>0</v>
      </c>
      <c r="U75" s="37">
        <f t="shared" si="10"/>
        <v>0</v>
      </c>
      <c r="V75" s="37">
        <f t="shared" si="10"/>
        <v>0</v>
      </c>
      <c r="W75" s="37">
        <f t="shared" si="10"/>
        <v>0</v>
      </c>
      <c r="X75" s="37">
        <f t="shared" si="10"/>
        <v>0</v>
      </c>
      <c r="Y75" s="37">
        <f t="shared" si="10"/>
        <v>0</v>
      </c>
      <c r="Z75" s="37">
        <f t="shared" si="10"/>
        <v>0</v>
      </c>
      <c r="AA75" s="37">
        <f t="shared" si="10"/>
        <v>0</v>
      </c>
      <c r="AB75" s="37">
        <f t="shared" si="10"/>
        <v>0</v>
      </c>
      <c r="AC75" s="37">
        <f t="shared" si="10"/>
        <v>0</v>
      </c>
      <c r="AD75" s="37">
        <f t="shared" si="10"/>
        <v>0</v>
      </c>
      <c r="AE75" s="37">
        <f t="shared" si="10"/>
        <v>0</v>
      </c>
      <c r="AF75" s="37">
        <f t="shared" si="10"/>
        <v>0</v>
      </c>
      <c r="AG75" s="37">
        <f t="shared" si="10"/>
        <v>0</v>
      </c>
      <c r="AH75" s="37">
        <f t="shared" si="10"/>
        <v>0</v>
      </c>
      <c r="AI75" s="37">
        <f t="shared" si="10"/>
        <v>0</v>
      </c>
      <c r="AJ75" s="37">
        <f>AJ72+AJ73+AJ74</f>
        <v>0</v>
      </c>
      <c r="AK75" s="37">
        <f>AK72+AK73+AK74</f>
        <v>0</v>
      </c>
      <c r="AL75" s="37">
        <f>AL72+AL73+AL74</f>
        <v>0</v>
      </c>
      <c r="AM75" s="37">
        <f>AM72+AM73+AM74</f>
        <v>0</v>
      </c>
      <c r="AN75" s="38">
        <f>AL75-AM75</f>
        <v>0</v>
      </c>
      <c r="AO75" s="36"/>
    </row>
    <row r="76" spans="1:41" ht="25.5">
      <c r="A76" s="39" t="s">
        <v>67</v>
      </c>
      <c r="B76" s="37">
        <f>B63+B67+B71+B75</f>
        <v>6000</v>
      </c>
      <c r="C76" s="37">
        <f>C63+C67+C71+C75</f>
        <v>0</v>
      </c>
      <c r="D76" s="37">
        <f>D63+D67+D71+D75</f>
        <v>7200</v>
      </c>
      <c r="E76" s="37">
        <f>E63+E67+E71+E75</f>
        <v>0</v>
      </c>
      <c r="F76" s="37">
        <f>F63+F67+F71+F75</f>
        <v>7200</v>
      </c>
      <c r="G76" s="37">
        <f>G63+G67+G71+G75</f>
        <v>0</v>
      </c>
      <c r="H76" s="37">
        <f>H63+H67+H71+H75</f>
        <v>7200</v>
      </c>
      <c r="I76" s="37">
        <f>I63+I67+I71+I75</f>
        <v>0</v>
      </c>
      <c r="J76" s="37">
        <f>J63+J67+J71+J75</f>
        <v>7200</v>
      </c>
      <c r="K76" s="37">
        <f>K63+K67+K71+K75</f>
        <v>0</v>
      </c>
      <c r="L76" s="37">
        <f>L63+L67+L71+L75</f>
        <v>7200</v>
      </c>
      <c r="M76" s="37">
        <f>M63+M67+M71+M75</f>
        <v>0</v>
      </c>
      <c r="N76" s="37">
        <f>N63+N67+N71+N75</f>
        <v>7200</v>
      </c>
      <c r="O76" s="37">
        <f>O63+O67+O71+O75</f>
        <v>0</v>
      </c>
      <c r="P76" s="37">
        <f>P63+P67+P71+P75</f>
        <v>7200</v>
      </c>
      <c r="Q76" s="37">
        <f>Q63+Q67+Q71+Q75</f>
        <v>0</v>
      </c>
      <c r="R76" s="37">
        <f>R63+R67+R71+R75</f>
        <v>7200</v>
      </c>
      <c r="S76" s="37">
        <f>S63+S67+S71+S75</f>
        <v>0</v>
      </c>
      <c r="T76" s="37">
        <f>T63+T67+T71+T75</f>
        <v>7200</v>
      </c>
      <c r="U76" s="37">
        <f>U63+U67+U71+U75</f>
        <v>0</v>
      </c>
      <c r="V76" s="37">
        <f>V63+V67+V71+V75</f>
        <v>4800</v>
      </c>
      <c r="W76" s="37">
        <f>W63+W67+W71+W75</f>
        <v>0</v>
      </c>
      <c r="X76" s="37">
        <f>X63+X67+X71+X75</f>
        <v>9600</v>
      </c>
      <c r="Y76" s="37">
        <f>Y63+Y67+Y71+Y75</f>
        <v>0</v>
      </c>
      <c r="Z76" s="37">
        <f>Z63+Z67+Z71+Z75</f>
        <v>7200</v>
      </c>
      <c r="AA76" s="37">
        <f>AA63+AA67+AA71+AA75</f>
        <v>0</v>
      </c>
      <c r="AB76" s="37">
        <f>AB63+AB67+AB71+AB75</f>
        <v>7200</v>
      </c>
      <c r="AC76" s="37">
        <f>AC63+AC67+AC71+AC75</f>
        <v>0</v>
      </c>
      <c r="AD76" s="37">
        <f>AD63+AD67+AD71+AD75</f>
        <v>7200</v>
      </c>
      <c r="AE76" s="37">
        <f>AE63+AE67+AE71+AE75</f>
        <v>0</v>
      </c>
      <c r="AF76" s="37">
        <f>AF63+AF67+AF71+AF75</f>
        <v>7200</v>
      </c>
      <c r="AG76" s="37">
        <f>AG63+AG67+AG71+AG75</f>
        <v>0</v>
      </c>
      <c r="AH76" s="37">
        <f>AH63+AH67+AH71+AH75</f>
        <v>4800</v>
      </c>
      <c r="AI76" s="37">
        <f>AI63+AI67+AI71+AI75</f>
        <v>0</v>
      </c>
      <c r="AJ76" s="37">
        <f>AJ75+AJ71+AJ67+AJ63</f>
        <v>16200</v>
      </c>
      <c r="AK76" s="37">
        <f>AK75+AK71+AK67+AK63</f>
        <v>0</v>
      </c>
      <c r="AL76" s="40">
        <f>B76+D76+F76+H76+J76+L76+N76+P76+T76+X76+R76+V76+Z76+AB76+AD76+AF76+AH76+AJ76</f>
        <v>135000</v>
      </c>
      <c r="AM76" s="40">
        <f>C76+E76+G76+I76+K76+M76+O76+Q76+U76+Y76+S76+W76+AA76+AC76+AE76+AG76+AI76+AK76</f>
        <v>0</v>
      </c>
      <c r="AN76" s="38">
        <f>AL76-AM76</f>
        <v>135000</v>
      </c>
      <c r="AO76" s="28"/>
    </row>
    <row r="77" spans="1:39" ht="12.75">
      <c r="A77" s="3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4"/>
      <c r="AL77" s="31"/>
      <c r="AM77" s="7"/>
    </row>
    <row r="78" spans="1:39" ht="12.75">
      <c r="A78" s="35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4"/>
      <c r="AL78" s="31"/>
      <c r="AM78" s="7"/>
    </row>
    <row r="79" spans="1:3" ht="12.75">
      <c r="A79" s="8" t="s">
        <v>3</v>
      </c>
      <c r="B79" s="6"/>
      <c r="C79" s="1"/>
    </row>
    <row r="80" spans="1:5" ht="12.75">
      <c r="A80" s="12" t="s">
        <v>4</v>
      </c>
      <c r="B80" s="6">
        <f>B82-AL76</f>
        <v>0</v>
      </c>
      <c r="C80" s="1"/>
      <c r="D80" s="57"/>
      <c r="E80" s="1"/>
    </row>
    <row r="81" spans="2:38" ht="12.75">
      <c r="B81" s="15"/>
      <c r="AL81" s="1"/>
    </row>
    <row r="82" spans="1:37" ht="12.75">
      <c r="A82" s="14" t="s">
        <v>44</v>
      </c>
      <c r="B82" s="24">
        <v>135000</v>
      </c>
      <c r="C82" s="11"/>
      <c r="F82" s="11"/>
      <c r="G82" s="1"/>
      <c r="H82" s="1"/>
      <c r="AJ82" s="1"/>
      <c r="AK82" s="1"/>
    </row>
    <row r="83" spans="1:37" ht="12.75">
      <c r="A83" s="25">
        <v>45292</v>
      </c>
      <c r="B83" s="24">
        <v>135000</v>
      </c>
      <c r="C83" s="11"/>
      <c r="F83" s="11"/>
      <c r="G83" s="1"/>
      <c r="AK83" s="1"/>
    </row>
  </sheetData>
  <sheetProtection/>
  <mergeCells count="44">
    <mergeCell ref="AB58:AC58"/>
    <mergeCell ref="AD58:AE58"/>
    <mergeCell ref="AF58:AG58"/>
    <mergeCell ref="AH58:AI58"/>
    <mergeCell ref="AJ58:AK58"/>
    <mergeCell ref="AL58:AM58"/>
    <mergeCell ref="P58:Q58"/>
    <mergeCell ref="R58:S58"/>
    <mergeCell ref="T58:U58"/>
    <mergeCell ref="V58:W58"/>
    <mergeCell ref="X58:Y58"/>
    <mergeCell ref="Z58:AA58"/>
    <mergeCell ref="A57:A58"/>
    <mergeCell ref="B57:Y57"/>
    <mergeCell ref="AL57:AM57"/>
    <mergeCell ref="B58:C58"/>
    <mergeCell ref="D58:E58"/>
    <mergeCell ref="F58:G58"/>
    <mergeCell ref="H58:I58"/>
    <mergeCell ref="J58:K58"/>
    <mergeCell ref="L58:M58"/>
    <mergeCell ref="N58:O58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A8:A9"/>
    <mergeCell ref="B8:Y8"/>
    <mergeCell ref="AL8:AM8"/>
    <mergeCell ref="B9:C9"/>
    <mergeCell ref="D9:E9"/>
    <mergeCell ref="F9:G9"/>
    <mergeCell ref="H9:I9"/>
    <mergeCell ref="J9:K9"/>
    <mergeCell ref="L9:M9"/>
    <mergeCell ref="N9:O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5">
      <selection activeCell="E5" sqref="E5"/>
    </sheetView>
  </sheetViews>
  <sheetFormatPr defaultColWidth="9.140625" defaultRowHeight="12.75"/>
  <cols>
    <col min="3" max="3" width="14.57421875" style="0" customWidth="1"/>
    <col min="4" max="4" width="13.140625" style="0" customWidth="1"/>
    <col min="5" max="5" width="21.57421875" style="0" customWidth="1"/>
    <col min="6" max="6" width="18.00390625" style="0" customWidth="1"/>
    <col min="7" max="7" width="9.140625" style="0" customWidth="1"/>
    <col min="8" max="8" width="20.421875" style="0" customWidth="1"/>
    <col min="9" max="9" width="13.57421875" style="0" customWidth="1"/>
  </cols>
  <sheetData>
    <row r="3" spans="2:14" ht="12.7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2.7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8.75">
      <c r="B5" s="68"/>
      <c r="C5" s="69"/>
      <c r="D5" s="70"/>
      <c r="E5" s="69"/>
      <c r="F5" s="68"/>
      <c r="G5" s="68"/>
      <c r="H5" s="69"/>
      <c r="I5" s="70"/>
      <c r="J5" s="68"/>
      <c r="K5" s="68"/>
      <c r="L5" s="68"/>
      <c r="M5" s="68"/>
      <c r="N5" s="68"/>
    </row>
    <row r="6" spans="2:14" ht="18.75">
      <c r="B6" s="68"/>
      <c r="C6" s="69"/>
      <c r="D6" s="70"/>
      <c r="E6" s="69"/>
      <c r="F6" s="68"/>
      <c r="G6" s="68"/>
      <c r="H6" s="71"/>
      <c r="I6" s="70"/>
      <c r="J6" s="68"/>
      <c r="K6" s="68"/>
      <c r="L6" s="68"/>
      <c r="M6" s="68"/>
      <c r="N6" s="68"/>
    </row>
    <row r="7" spans="2:14" ht="18.75">
      <c r="B7" s="68"/>
      <c r="C7" s="69"/>
      <c r="D7" s="70"/>
      <c r="E7" s="69"/>
      <c r="F7" s="69"/>
      <c r="G7" s="68"/>
      <c r="H7" s="71"/>
      <c r="I7" s="70"/>
      <c r="J7" s="68"/>
      <c r="K7" s="68"/>
      <c r="L7" s="68"/>
      <c r="M7" s="68"/>
      <c r="N7" s="68"/>
    </row>
    <row r="8" spans="2:14" ht="18.75">
      <c r="B8" s="68"/>
      <c r="C8" s="71"/>
      <c r="D8" s="70"/>
      <c r="E8" s="69"/>
      <c r="F8" s="69"/>
      <c r="G8" s="68"/>
      <c r="H8" s="71"/>
      <c r="I8" s="70"/>
      <c r="J8" s="68"/>
      <c r="K8" s="68"/>
      <c r="L8" s="68"/>
      <c r="M8" s="68"/>
      <c r="N8" s="68"/>
    </row>
    <row r="9" spans="2:14" ht="18.75">
      <c r="B9" s="68"/>
      <c r="C9" s="71"/>
      <c r="D9" s="70"/>
      <c r="E9" s="69"/>
      <c r="F9" s="69"/>
      <c r="G9" s="68"/>
      <c r="H9" s="71"/>
      <c r="I9" s="70"/>
      <c r="J9" s="68"/>
      <c r="K9" s="68"/>
      <c r="L9" s="68"/>
      <c r="M9" s="68"/>
      <c r="N9" s="68"/>
    </row>
    <row r="10" spans="2:14" ht="18.75">
      <c r="B10" s="68"/>
      <c r="C10" s="71"/>
      <c r="D10" s="70"/>
      <c r="E10" s="69"/>
      <c r="F10" s="69"/>
      <c r="G10" s="68"/>
      <c r="H10" s="71"/>
      <c r="I10" s="70"/>
      <c r="J10" s="68"/>
      <c r="K10" s="68"/>
      <c r="L10" s="68"/>
      <c r="M10" s="68"/>
      <c r="N10" s="68"/>
    </row>
    <row r="11" spans="2:14" ht="18.75">
      <c r="B11" s="68"/>
      <c r="C11" s="71"/>
      <c r="D11" s="70"/>
      <c r="E11" s="69"/>
      <c r="F11" s="72"/>
      <c r="G11" s="68"/>
      <c r="H11" s="71"/>
      <c r="I11" s="70"/>
      <c r="J11" s="68"/>
      <c r="K11" s="68"/>
      <c r="L11" s="68"/>
      <c r="M11" s="68"/>
      <c r="N11" s="68"/>
    </row>
    <row r="12" spans="2:14" ht="18.75">
      <c r="B12" s="68"/>
      <c r="C12" s="71"/>
      <c r="D12" s="70"/>
      <c r="E12" s="69"/>
      <c r="F12" s="68"/>
      <c r="G12" s="68"/>
      <c r="H12" s="69"/>
      <c r="I12" s="70"/>
      <c r="J12" s="68"/>
      <c r="K12" s="68"/>
      <c r="L12" s="68"/>
      <c r="M12" s="68"/>
      <c r="N12" s="68"/>
    </row>
    <row r="13" spans="2:14" ht="18.75">
      <c r="B13" s="68"/>
      <c r="C13" s="71"/>
      <c r="D13" s="70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 ht="18.75">
      <c r="B14" s="68"/>
      <c r="C14" s="69"/>
      <c r="D14" s="70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 ht="18.75">
      <c r="B15" s="68"/>
      <c r="C15" s="72"/>
      <c r="D15" s="72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 ht="18.75">
      <c r="B17" s="68"/>
      <c r="C17" s="68"/>
      <c r="D17" s="69"/>
      <c r="E17" s="70"/>
      <c r="F17" s="69"/>
      <c r="G17" s="68"/>
      <c r="H17" s="68"/>
      <c r="I17" s="68"/>
      <c r="J17" s="68"/>
      <c r="K17" s="68"/>
      <c r="L17" s="68"/>
      <c r="M17" s="68"/>
      <c r="N17" s="68"/>
    </row>
    <row r="18" spans="2:14" ht="18.75">
      <c r="B18" s="68"/>
      <c r="C18" s="68"/>
      <c r="D18" s="71"/>
      <c r="E18" s="70"/>
      <c r="F18" s="69"/>
      <c r="G18" s="68"/>
      <c r="H18" s="68"/>
      <c r="I18" s="68"/>
      <c r="J18" s="68"/>
      <c r="K18" s="68"/>
      <c r="L18" s="68"/>
      <c r="M18" s="68"/>
      <c r="N18" s="68"/>
    </row>
    <row r="19" spans="2:14" ht="18.75">
      <c r="B19" s="68"/>
      <c r="C19" s="68"/>
      <c r="D19" s="71"/>
      <c r="E19" s="70"/>
      <c r="F19" s="69"/>
      <c r="G19" s="68"/>
      <c r="H19" s="68"/>
      <c r="I19" s="68"/>
      <c r="J19" s="68"/>
      <c r="K19" s="68"/>
      <c r="L19" s="68"/>
      <c r="M19" s="68"/>
      <c r="N19" s="68"/>
    </row>
    <row r="20" spans="2:14" ht="18.75">
      <c r="B20" s="68"/>
      <c r="C20" s="68"/>
      <c r="D20" s="71"/>
      <c r="E20" s="70"/>
      <c r="F20" s="69"/>
      <c r="G20" s="68"/>
      <c r="H20" s="68"/>
      <c r="I20" s="68"/>
      <c r="J20" s="68"/>
      <c r="K20" s="68"/>
      <c r="L20" s="68"/>
      <c r="M20" s="68"/>
      <c r="N20" s="68"/>
    </row>
    <row r="21" spans="2:7" ht="18.75">
      <c r="B21" s="68"/>
      <c r="C21" s="68"/>
      <c r="D21" s="71"/>
      <c r="E21" s="70"/>
      <c r="F21" s="69"/>
      <c r="G21" s="68"/>
    </row>
    <row r="22" spans="2:7" ht="18.75">
      <c r="B22" s="68"/>
      <c r="C22" s="68"/>
      <c r="D22" s="71"/>
      <c r="E22" s="70"/>
      <c r="F22" s="69"/>
      <c r="G22" s="68"/>
    </row>
    <row r="23" spans="2:7" ht="18.75">
      <c r="B23" s="68"/>
      <c r="C23" s="68"/>
      <c r="D23" s="71"/>
      <c r="E23" s="70"/>
      <c r="F23" s="69"/>
      <c r="G23" s="68"/>
    </row>
    <row r="24" spans="2:7" ht="18.75">
      <c r="B24" s="68"/>
      <c r="C24" s="68"/>
      <c r="D24" s="69"/>
      <c r="E24" s="70"/>
      <c r="F24" s="69"/>
      <c r="G24" s="68"/>
    </row>
    <row r="25" spans="2:7" ht="12.75">
      <c r="B25" s="68"/>
      <c r="C25" s="68"/>
      <c r="D25" s="68"/>
      <c r="E25" s="68"/>
      <c r="F25" s="68"/>
      <c r="G25" s="68"/>
    </row>
    <row r="26" spans="2:7" ht="12.75">
      <c r="B26" s="68"/>
      <c r="C26" s="68"/>
      <c r="D26" s="68"/>
      <c r="E26" s="68"/>
      <c r="F26" s="68"/>
      <c r="G26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ci@casacl.ro</cp:lastModifiedBy>
  <cp:lastPrinted>2023-12-29T07:47:07Z</cp:lastPrinted>
  <dcterms:created xsi:type="dcterms:W3CDTF">2007-02-14T09:57:22Z</dcterms:created>
  <dcterms:modified xsi:type="dcterms:W3CDTF">2023-12-29T12:40:56Z</dcterms:modified>
  <cp:category/>
  <cp:version/>
  <cp:contentType/>
  <cp:contentStatus/>
</cp:coreProperties>
</file>